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h-my.sharepoint.com/personal/erik_henning_andersen_regionh_dk/Documents/2020 SIG Fluoroskopi Kontroller/2026.06.17 NY Efter høring EA/"/>
    </mc:Choice>
  </mc:AlternateContent>
  <xr:revisionPtr revIDLastSave="139" documentId="8_{D914EF38-0257-4530-A6E0-283E16CE3197}" xr6:coauthVersionLast="47" xr6:coauthVersionMax="47" xr10:uidLastSave="{19194483-717E-442E-B11D-BAD064F3E9DA}"/>
  <bookViews>
    <workbookView xWindow="-120" yWindow="-120" windowWidth="29040" windowHeight="15720" tabRatio="848" activeTab="1" xr2:uid="{00000000-000D-0000-FFFF-FFFF00000000}"/>
  </bookViews>
  <sheets>
    <sheet name="Oplysningsside" sheetId="1" r:id="rId1"/>
    <sheet name="Kontroloversigt" sheetId="2" r:id="rId2"/>
    <sheet name="2. Mekaniske og geometriske par" sheetId="14" r:id="rId3"/>
    <sheet name="3. Røntgenrør og generator" sheetId="13" r:id="rId4"/>
    <sheet name="4. Dosis og dosishastighed" sheetId="15" r:id="rId5"/>
    <sheet name="5. Monitorer og billedkvalitet" sheetId="16" r:id="rId6"/>
    <sheet name="6. Eftersyn" sheetId="17" r:id="rId7"/>
    <sheet name="Ark2" sheetId="19" state="hidden" r:id="rId8"/>
    <sheet name="Data" sheetId="12" state="hidden" r:id="rId9"/>
    <sheet name="Ark9" sheetId="9" state="hidden" r:id="rId10"/>
    <sheet name="Ark8" sheetId="8" state="hidden" r:id="rId11"/>
    <sheet name="Ark7" sheetId="7" state="hidden" r:id="rId12"/>
    <sheet name="Ark3" sheetId="3" state="hidden" r:id="rId13"/>
  </sheets>
  <definedNames>
    <definedName name="_ftn1" localSheetId="4">'4. Dosis og dosishastighed'!#REF!</definedName>
    <definedName name="_ftnref1" localSheetId="4">'4. Dosis og dosishastighed'!#REF!</definedName>
    <definedName name="_Toc170377437" localSheetId="1">Kontroloversigt!$B$19</definedName>
    <definedName name="_Toc170377441" localSheetId="1">Kontroloversigt!$B$28</definedName>
    <definedName name="_Toc171069704" localSheetId="5">'5. Monitorer og billedkvalitet'!$A$10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213" i="15" l="1"/>
  <c r="O213" i="15"/>
  <c r="N74" i="13"/>
  <c r="N73" i="13"/>
  <c r="X322" i="16"/>
  <c r="X321" i="16"/>
  <c r="X320" i="16"/>
  <c r="X319" i="16"/>
  <c r="X318" i="16"/>
  <c r="X317" i="16"/>
  <c r="X316" i="16"/>
  <c r="X315" i="16"/>
  <c r="X311" i="16"/>
  <c r="X310" i="16"/>
  <c r="X309" i="16"/>
  <c r="X308" i="16"/>
  <c r="X307" i="16"/>
  <c r="X306" i="16"/>
  <c r="X305" i="16"/>
  <c r="X304" i="16"/>
  <c r="J304" i="16"/>
  <c r="K65" i="15"/>
  <c r="F64" i="15"/>
  <c r="L294" i="15" l="1"/>
  <c r="M294" i="15" s="1"/>
  <c r="N294" i="15" s="1"/>
  <c r="AC290" i="15"/>
  <c r="AD290" i="15" s="1"/>
  <c r="AE290" i="15" s="1"/>
  <c r="AC289" i="15"/>
  <c r="AD289" i="15" s="1"/>
  <c r="AE289" i="15" s="1"/>
  <c r="AC288" i="15"/>
  <c r="AD288" i="15" s="1"/>
  <c r="AE288" i="15" s="1"/>
  <c r="AC287" i="15"/>
  <c r="AD287" i="15" s="1"/>
  <c r="AE287" i="15" s="1"/>
  <c r="AC286" i="15"/>
  <c r="AD286" i="15" s="1"/>
  <c r="AE286" i="15" s="1"/>
  <c r="AC285" i="15"/>
  <c r="AD285" i="15" s="1"/>
  <c r="AE285" i="15" s="1"/>
  <c r="AC284" i="15"/>
  <c r="AD284" i="15" s="1"/>
  <c r="AE284" i="15" s="1"/>
  <c r="AC283" i="15"/>
  <c r="AD283" i="15" s="1"/>
  <c r="AE283" i="15" s="1"/>
  <c r="AC282" i="15"/>
  <c r="AD282" i="15" s="1"/>
  <c r="AE282" i="15" s="1"/>
  <c r="AC281" i="15"/>
  <c r="AD281" i="15" s="1"/>
  <c r="AE281" i="15" s="1"/>
  <c r="AC280" i="15"/>
  <c r="AD280" i="15" s="1"/>
  <c r="AE280" i="15" s="1"/>
  <c r="AC279" i="15"/>
  <c r="AD279" i="15" s="1"/>
  <c r="AE279" i="15" s="1"/>
  <c r="AC278" i="15"/>
  <c r="AD278" i="15" s="1"/>
  <c r="AE278" i="15" s="1"/>
  <c r="AC277" i="15"/>
  <c r="AD277" i="15" s="1"/>
  <c r="AE277" i="15" s="1"/>
  <c r="AC276" i="15"/>
  <c r="AD276" i="15" s="1"/>
  <c r="AE276" i="15" s="1"/>
  <c r="AC275" i="15"/>
  <c r="AD275" i="15" s="1"/>
  <c r="AE275" i="15" s="1"/>
  <c r="AC274" i="15"/>
  <c r="AD274" i="15" s="1"/>
  <c r="AE274" i="15" s="1"/>
  <c r="AC273" i="15"/>
  <c r="AD273" i="15" s="1"/>
  <c r="AE273" i="15" s="1"/>
  <c r="AC272" i="15"/>
  <c r="AD272" i="15" s="1"/>
  <c r="AE272" i="15" s="1"/>
  <c r="AC271" i="15"/>
  <c r="AD271" i="15" s="1"/>
  <c r="AE271" i="15" s="1"/>
  <c r="L290" i="15"/>
  <c r="M290" i="15" s="1"/>
  <c r="N290" i="15" s="1"/>
  <c r="L289" i="15"/>
  <c r="M289" i="15" s="1"/>
  <c r="N289" i="15" s="1"/>
  <c r="L288" i="15"/>
  <c r="M288" i="15" s="1"/>
  <c r="N288" i="15" s="1"/>
  <c r="L287" i="15"/>
  <c r="M287" i="15" s="1"/>
  <c r="N287" i="15" s="1"/>
  <c r="L286" i="15"/>
  <c r="M286" i="15" s="1"/>
  <c r="N286" i="15" s="1"/>
  <c r="L285" i="15"/>
  <c r="M285" i="15" s="1"/>
  <c r="N285" i="15" s="1"/>
  <c r="L284" i="15"/>
  <c r="M284" i="15" s="1"/>
  <c r="N284" i="15" s="1"/>
  <c r="L283" i="15"/>
  <c r="M283" i="15" s="1"/>
  <c r="N283" i="15" s="1"/>
  <c r="L282" i="15"/>
  <c r="M282" i="15" s="1"/>
  <c r="N282" i="15" s="1"/>
  <c r="L281" i="15"/>
  <c r="M281" i="15" s="1"/>
  <c r="N281" i="15" s="1"/>
  <c r="L280" i="15"/>
  <c r="M280" i="15" s="1"/>
  <c r="N280" i="15" s="1"/>
  <c r="L279" i="15"/>
  <c r="M279" i="15" s="1"/>
  <c r="N279" i="15" s="1"/>
  <c r="L278" i="15"/>
  <c r="M278" i="15" s="1"/>
  <c r="N278" i="15" s="1"/>
  <c r="L277" i="15"/>
  <c r="M277" i="15" s="1"/>
  <c r="N277" i="15" s="1"/>
  <c r="L276" i="15"/>
  <c r="M276" i="15" s="1"/>
  <c r="N276" i="15" s="1"/>
  <c r="L275" i="15"/>
  <c r="M275" i="15" s="1"/>
  <c r="N275" i="15" s="1"/>
  <c r="L274" i="15"/>
  <c r="M274" i="15" s="1"/>
  <c r="N274" i="15" s="1"/>
  <c r="L273" i="15"/>
  <c r="M273" i="15" s="1"/>
  <c r="N273" i="15" s="1"/>
  <c r="L272" i="15"/>
  <c r="M272" i="15" s="1"/>
  <c r="N272" i="15" s="1"/>
  <c r="L271" i="15"/>
  <c r="M271" i="15" s="1"/>
  <c r="L204" i="15"/>
  <c r="D33" i="14"/>
  <c r="E33" i="14" s="1"/>
  <c r="H33" i="2"/>
  <c r="H32" i="2"/>
  <c r="H31" i="2"/>
  <c r="H30" i="2"/>
  <c r="H29" i="2"/>
  <c r="H28" i="2"/>
  <c r="H25" i="2"/>
  <c r="H24" i="2"/>
  <c r="H23" i="2"/>
  <c r="H22" i="2"/>
  <c r="H21" i="2"/>
  <c r="H18" i="2"/>
  <c r="H17" i="2"/>
  <c r="H14" i="2"/>
  <c r="H13" i="2"/>
  <c r="H12" i="2"/>
  <c r="H11" i="2"/>
  <c r="H10" i="2"/>
  <c r="AC66" i="15"/>
  <c r="X66" i="15"/>
  <c r="AC65" i="15"/>
  <c r="X65" i="15"/>
  <c r="AC64" i="15"/>
  <c r="X64" i="15"/>
  <c r="Z63" i="15"/>
  <c r="Y63" i="15"/>
  <c r="Z62" i="15"/>
  <c r="Y62" i="15"/>
  <c r="AB61" i="15"/>
  <c r="AA61" i="15"/>
  <c r="Z61" i="15"/>
  <c r="Y61" i="15"/>
  <c r="W61" i="15"/>
  <c r="V61" i="15"/>
  <c r="Z60" i="15"/>
  <c r="Y60" i="15"/>
  <c r="K66" i="15"/>
  <c r="F66" i="15"/>
  <c r="F65" i="15"/>
  <c r="H60" i="15"/>
  <c r="E61" i="15"/>
  <c r="D61" i="15"/>
  <c r="K64" i="15"/>
  <c r="H63" i="15"/>
  <c r="G63" i="15"/>
  <c r="H62" i="15"/>
  <c r="G62" i="15"/>
  <c r="J61" i="15"/>
  <c r="I61" i="15"/>
  <c r="H61" i="15"/>
  <c r="G61" i="15"/>
  <c r="G60" i="15"/>
  <c r="D106" i="14"/>
  <c r="E106" i="14" s="1"/>
  <c r="F106" i="14" s="1"/>
  <c r="I66" i="14"/>
  <c r="J66" i="14" s="1"/>
  <c r="D66" i="14"/>
  <c r="E66" i="14" s="1"/>
  <c r="D32" i="14"/>
  <c r="E32" i="14" s="1"/>
  <c r="D31" i="14"/>
  <c r="E31" i="14" s="1"/>
  <c r="P213" i="15"/>
  <c r="D39" i="13"/>
  <c r="E39" i="13" s="1"/>
  <c r="D70" i="14"/>
  <c r="D69" i="14"/>
  <c r="D68" i="14"/>
  <c r="D67" i="14"/>
  <c r="AC313" i="15"/>
  <c r="AD313" i="15" s="1"/>
  <c r="AE313" i="15" s="1"/>
  <c r="AC312" i="15"/>
  <c r="AD312" i="15" s="1"/>
  <c r="AE312" i="15" s="1"/>
  <c r="AC311" i="15"/>
  <c r="AD311" i="15" s="1"/>
  <c r="AE311" i="15" s="1"/>
  <c r="AC310" i="15"/>
  <c r="AD310" i="15" s="1"/>
  <c r="AE310" i="15" s="1"/>
  <c r="AC309" i="15"/>
  <c r="AD309" i="15" s="1"/>
  <c r="AE309" i="15" s="1"/>
  <c r="AC308" i="15"/>
  <c r="AD308" i="15" s="1"/>
  <c r="AE308" i="15" s="1"/>
  <c r="AC307" i="15"/>
  <c r="AD307" i="15" s="1"/>
  <c r="AE307" i="15" s="1"/>
  <c r="AC306" i="15"/>
  <c r="AD306" i="15" s="1"/>
  <c r="AE306" i="15" s="1"/>
  <c r="AC305" i="15"/>
  <c r="AD305" i="15" s="1"/>
  <c r="AE305" i="15" s="1"/>
  <c r="AC304" i="15"/>
  <c r="AD304" i="15" s="1"/>
  <c r="AE304" i="15" s="1"/>
  <c r="AC303" i="15"/>
  <c r="AD303" i="15" s="1"/>
  <c r="AE303" i="15" s="1"/>
  <c r="AC302" i="15"/>
  <c r="AD302" i="15" s="1"/>
  <c r="AE302" i="15" s="1"/>
  <c r="AC301" i="15"/>
  <c r="AD301" i="15" s="1"/>
  <c r="AE301" i="15" s="1"/>
  <c r="AC300" i="15"/>
  <c r="AD300" i="15" s="1"/>
  <c r="AE300" i="15" s="1"/>
  <c r="AC299" i="15"/>
  <c r="AD299" i="15" s="1"/>
  <c r="AE299" i="15" s="1"/>
  <c r="AC298" i="15"/>
  <c r="AD298" i="15" s="1"/>
  <c r="AE298" i="15" s="1"/>
  <c r="AC297" i="15"/>
  <c r="AD297" i="15" s="1"/>
  <c r="AE297" i="15" s="1"/>
  <c r="AC296" i="15"/>
  <c r="AD296" i="15" s="1"/>
  <c r="AE296" i="15" s="1"/>
  <c r="AC295" i="15"/>
  <c r="AD295" i="15" s="1"/>
  <c r="AE295" i="15" s="1"/>
  <c r="L313" i="15"/>
  <c r="M313" i="15" s="1"/>
  <c r="N313" i="15" s="1"/>
  <c r="L312" i="15"/>
  <c r="M312" i="15" s="1"/>
  <c r="N312" i="15" s="1"/>
  <c r="L311" i="15"/>
  <c r="M311" i="15" s="1"/>
  <c r="N311" i="15" s="1"/>
  <c r="L310" i="15"/>
  <c r="M310" i="15" s="1"/>
  <c r="N310" i="15" s="1"/>
  <c r="L309" i="15"/>
  <c r="M309" i="15" s="1"/>
  <c r="N309" i="15" s="1"/>
  <c r="L308" i="15"/>
  <c r="M308" i="15" s="1"/>
  <c r="N308" i="15" s="1"/>
  <c r="L307" i="15"/>
  <c r="M307" i="15" s="1"/>
  <c r="N307" i="15" s="1"/>
  <c r="L306" i="15"/>
  <c r="M306" i="15" s="1"/>
  <c r="N306" i="15" s="1"/>
  <c r="L305" i="15"/>
  <c r="M305" i="15" s="1"/>
  <c r="N305" i="15" s="1"/>
  <c r="L304" i="15"/>
  <c r="M304" i="15" s="1"/>
  <c r="N304" i="15" s="1"/>
  <c r="L303" i="15"/>
  <c r="M303" i="15" s="1"/>
  <c r="N303" i="15" s="1"/>
  <c r="L302" i="15"/>
  <c r="M302" i="15" s="1"/>
  <c r="N302" i="15" s="1"/>
  <c r="L301" i="15"/>
  <c r="M301" i="15" s="1"/>
  <c r="N301" i="15" s="1"/>
  <c r="L300" i="15"/>
  <c r="M300" i="15" s="1"/>
  <c r="N300" i="15" s="1"/>
  <c r="L299" i="15"/>
  <c r="M299" i="15" s="1"/>
  <c r="N299" i="15" s="1"/>
  <c r="L298" i="15"/>
  <c r="M298" i="15" s="1"/>
  <c r="N298" i="15" s="1"/>
  <c r="L297" i="15"/>
  <c r="M297" i="15" s="1"/>
  <c r="N297" i="15" s="1"/>
  <c r="L296" i="15"/>
  <c r="M296" i="15" s="1"/>
  <c r="N296" i="15" s="1"/>
  <c r="L295" i="15"/>
  <c r="M295" i="15" s="1"/>
  <c r="N295" i="15" s="1"/>
  <c r="AC294" i="15"/>
  <c r="AD294" i="15" s="1"/>
  <c r="AE294" i="15" s="1"/>
  <c r="O206" i="15"/>
  <c r="P143" i="15"/>
  <c r="M143" i="15"/>
  <c r="M129" i="15"/>
  <c r="I74" i="16"/>
  <c r="I73" i="16"/>
  <c r="I72" i="16"/>
  <c r="I71" i="16"/>
  <c r="I70" i="16"/>
  <c r="I69" i="16"/>
  <c r="D69" i="16"/>
  <c r="O70" i="16"/>
  <c r="O69" i="16"/>
  <c r="O71" i="16"/>
  <c r="O72" i="16"/>
  <c r="O73" i="16"/>
  <c r="O74" i="16"/>
  <c r="A259" i="15"/>
  <c r="A189" i="15"/>
  <c r="K190" i="15" s="1"/>
  <c r="A116" i="15"/>
  <c r="P129" i="15" s="1"/>
  <c r="Q213" i="15" l="1"/>
  <c r="K117" i="15"/>
  <c r="N271" i="15"/>
  <c r="Z65" i="15"/>
  <c r="AD65" i="15" s="1"/>
  <c r="AE65" i="15" s="1"/>
  <c r="Z66" i="15"/>
  <c r="AD66" i="15" s="1"/>
  <c r="AE66" i="15" s="1"/>
  <c r="Z64" i="15"/>
  <c r="AD64" i="15" s="1"/>
  <c r="AE64" i="15" s="1"/>
  <c r="H66" i="15"/>
  <c r="H64" i="15"/>
  <c r="L64" i="15" s="1"/>
  <c r="H65" i="15"/>
  <c r="AI213" i="15"/>
  <c r="AH206" i="15"/>
  <c r="AJ213" i="15" l="1"/>
  <c r="L65" i="15"/>
  <c r="M65" i="15" s="1"/>
  <c r="L66" i="15"/>
  <c r="M66" i="15" s="1"/>
  <c r="M64" i="15"/>
  <c r="AH152" i="15"/>
  <c r="AE152" i="15"/>
  <c r="AF152" i="15" s="1"/>
  <c r="AG152" i="15" s="1"/>
  <c r="AH151" i="15"/>
  <c r="AE151" i="15"/>
  <c r="AF151" i="15" s="1"/>
  <c r="AG151" i="15" s="1"/>
  <c r="AH150" i="15"/>
  <c r="AE150" i="15"/>
  <c r="AF150" i="15" s="1"/>
  <c r="AG150" i="15" s="1"/>
  <c r="AI150" i="15" s="1"/>
  <c r="AH149" i="15"/>
  <c r="AE149" i="15"/>
  <c r="AH148" i="15"/>
  <c r="AE148" i="15"/>
  <c r="AF148" i="15" s="1"/>
  <c r="AG148" i="15" s="1"/>
  <c r="AH147" i="15"/>
  <c r="AE147" i="15"/>
  <c r="AF147" i="15" s="1"/>
  <c r="AG147" i="15" s="1"/>
  <c r="AH146" i="15"/>
  <c r="AE146" i="15"/>
  <c r="AH145" i="15"/>
  <c r="AE145" i="15"/>
  <c r="AH144" i="15"/>
  <c r="AE144" i="15"/>
  <c r="AF144" i="15" s="1"/>
  <c r="AG144" i="15" s="1"/>
  <c r="AI144" i="15" s="1"/>
  <c r="AH143" i="15"/>
  <c r="AE143" i="15"/>
  <c r="AE138" i="15"/>
  <c r="AE137" i="15"/>
  <c r="AE136" i="15"/>
  <c r="AE135" i="15"/>
  <c r="AE134" i="15"/>
  <c r="AE133" i="15"/>
  <c r="AE132" i="15"/>
  <c r="AE131" i="15"/>
  <c r="AE130" i="15"/>
  <c r="AE129" i="15"/>
  <c r="P152" i="15"/>
  <c r="M152" i="15"/>
  <c r="N152" i="15" s="1"/>
  <c r="O152" i="15" s="1"/>
  <c r="P151" i="15"/>
  <c r="M151" i="15"/>
  <c r="P150" i="15"/>
  <c r="M150" i="15"/>
  <c r="N150" i="15" s="1"/>
  <c r="O150" i="15" s="1"/>
  <c r="P149" i="15"/>
  <c r="M149" i="15"/>
  <c r="N149" i="15" s="1"/>
  <c r="O149" i="15" s="1"/>
  <c r="Q149" i="15" s="1"/>
  <c r="P148" i="15"/>
  <c r="M148" i="15"/>
  <c r="P147" i="15"/>
  <c r="M147" i="15"/>
  <c r="P146" i="15"/>
  <c r="M146" i="15"/>
  <c r="P145" i="15"/>
  <c r="M145" i="15"/>
  <c r="P144" i="15"/>
  <c r="M144" i="15"/>
  <c r="N141" i="15"/>
  <c r="M138" i="15"/>
  <c r="M137" i="15"/>
  <c r="M136" i="15"/>
  <c r="M135" i="15"/>
  <c r="M134" i="15"/>
  <c r="M133" i="15"/>
  <c r="M132" i="15"/>
  <c r="M131" i="15"/>
  <c r="M130" i="15"/>
  <c r="H64" i="14"/>
  <c r="G64" i="14"/>
  <c r="B64" i="14"/>
  <c r="B6" i="1"/>
  <c r="C5" i="2" s="1"/>
  <c r="D139" i="12"/>
  <c r="AF292" i="15"/>
  <c r="AB292" i="15"/>
  <c r="X292" i="15"/>
  <c r="AF269" i="15"/>
  <c r="AB269" i="15"/>
  <c r="X269" i="15"/>
  <c r="K269" i="15"/>
  <c r="AG210" i="15"/>
  <c r="AF210" i="15"/>
  <c r="AE210" i="15"/>
  <c r="AB210" i="15"/>
  <c r="AF204" i="15"/>
  <c r="AE204" i="15"/>
  <c r="AB203" i="15"/>
  <c r="AE141" i="15"/>
  <c r="AD141" i="15"/>
  <c r="AA141" i="15"/>
  <c r="K292" i="15"/>
  <c r="N210" i="15"/>
  <c r="M210" i="15"/>
  <c r="L210" i="15"/>
  <c r="M204" i="15"/>
  <c r="G69" i="16"/>
  <c r="H69" i="16" s="1"/>
  <c r="H292" i="15"/>
  <c r="I210" i="15"/>
  <c r="I203" i="15"/>
  <c r="N127" i="15"/>
  <c r="I141" i="15"/>
  <c r="I127" i="15"/>
  <c r="H269" i="15"/>
  <c r="C103" i="14"/>
  <c r="B103" i="14"/>
  <c r="C64" i="14"/>
  <c r="AI148" i="15" l="1"/>
  <c r="Q150" i="15"/>
  <c r="Q152" i="15"/>
  <c r="AI152" i="15"/>
  <c r="AI147" i="15"/>
  <c r="AI151" i="15"/>
  <c r="C5" i="14"/>
  <c r="C5" i="13"/>
  <c r="C5" i="15"/>
  <c r="C5" i="16"/>
  <c r="C5" i="17"/>
  <c r="AK213" i="15"/>
  <c r="R213" i="15"/>
  <c r="Y320" i="16" l="1"/>
  <c r="Y316" i="16"/>
  <c r="Y315" i="16"/>
  <c r="Y306" i="16"/>
  <c r="Z306" i="16" s="1"/>
  <c r="O295" i="16"/>
  <c r="J322" i="16"/>
  <c r="J321" i="16"/>
  <c r="K321" i="16" s="1"/>
  <c r="J320" i="16"/>
  <c r="J319" i="16"/>
  <c r="K319" i="16" s="1"/>
  <c r="J311" i="16"/>
  <c r="J310" i="16"/>
  <c r="J309" i="16"/>
  <c r="J308" i="16"/>
  <c r="J307" i="16"/>
  <c r="P227" i="16"/>
  <c r="A227" i="16"/>
  <c r="I70" i="14"/>
  <c r="J70" i="14" s="1"/>
  <c r="I69" i="14"/>
  <c r="J69" i="14" s="1"/>
  <c r="I67" i="14"/>
  <c r="J67" i="14" s="1"/>
  <c r="AE127" i="15"/>
  <c r="AD127" i="15"/>
  <c r="AA127" i="15"/>
  <c r="M141" i="15"/>
  <c r="L141" i="15"/>
  <c r="M127" i="15"/>
  <c r="L127" i="15"/>
  <c r="K304" i="16"/>
  <c r="J236" i="16" l="1"/>
  <c r="N236" i="16"/>
  <c r="Y236" i="16"/>
  <c r="Z236" i="16" s="1"/>
  <c r="Y244" i="16"/>
  <c r="Z244" i="16" s="1"/>
  <c r="Y239" i="16"/>
  <c r="Z239" i="16" s="1"/>
  <c r="Y245" i="16"/>
  <c r="Z245" i="16" s="1"/>
  <c r="Y243" i="16"/>
  <c r="Z243" i="16" s="1"/>
  <c r="Y237" i="16"/>
  <c r="Z237" i="16" s="1"/>
  <c r="Y246" i="16"/>
  <c r="Z246" i="16" s="1"/>
  <c r="Y238" i="16"/>
  <c r="Z238" i="16" s="1"/>
  <c r="J246" i="16"/>
  <c r="J245" i="16"/>
  <c r="J238" i="16"/>
  <c r="J244" i="16"/>
  <c r="J243" i="16"/>
  <c r="J239" i="16"/>
  <c r="J237" i="16"/>
  <c r="N243" i="16"/>
  <c r="N237" i="16"/>
  <c r="N239" i="16"/>
  <c r="N244" i="16"/>
  <c r="N238" i="16"/>
  <c r="N245" i="16"/>
  <c r="N246" i="16"/>
  <c r="Y308" i="16"/>
  <c r="Z308" i="16" s="1"/>
  <c r="Y310" i="16"/>
  <c r="Z310" i="16" s="1"/>
  <c r="K311" i="16"/>
  <c r="L311" i="16" s="1"/>
  <c r="K310" i="16"/>
  <c r="L310" i="16" s="1"/>
  <c r="K309" i="16"/>
  <c r="L309" i="16" s="1"/>
  <c r="Y309" i="16"/>
  <c r="Z309" i="16" s="1"/>
  <c r="K307" i="16"/>
  <c r="L307" i="16" s="1"/>
  <c r="K308" i="16"/>
  <c r="L308" i="16" s="1"/>
  <c r="Y307" i="16"/>
  <c r="Z307" i="16" s="1"/>
  <c r="Y319" i="16"/>
  <c r="Z319" i="16" s="1"/>
  <c r="Z316" i="16"/>
  <c r="Z320" i="16"/>
  <c r="Y304" i="16"/>
  <c r="Z304" i="16" s="1"/>
  <c r="Y317" i="16"/>
  <c r="Z317" i="16" s="1"/>
  <c r="Y321" i="16"/>
  <c r="Z321" i="16" s="1"/>
  <c r="Z315" i="16"/>
  <c r="Y311" i="16"/>
  <c r="Z311" i="16" s="1"/>
  <c r="Y318" i="16"/>
  <c r="Z318" i="16" s="1"/>
  <c r="Y322" i="16"/>
  <c r="Z322" i="16" s="1"/>
  <c r="Y305" i="16"/>
  <c r="Z305" i="16" s="1"/>
  <c r="L319" i="16"/>
  <c r="L321" i="16"/>
  <c r="K322" i="16"/>
  <c r="L322" i="16" s="1"/>
  <c r="K320" i="16"/>
  <c r="L320" i="16" s="1"/>
  <c r="Q229" i="16"/>
  <c r="E74" i="13"/>
  <c r="F74" i="13" s="1"/>
  <c r="E73" i="13"/>
  <c r="F73" i="13" s="1"/>
  <c r="L74" i="13"/>
  <c r="M74" i="13" s="1"/>
  <c r="L73" i="13"/>
  <c r="M73" i="13" s="1"/>
  <c r="I39" i="13"/>
  <c r="J39" i="13" s="1"/>
  <c r="I43" i="13"/>
  <c r="J43" i="13" s="1"/>
  <c r="I42" i="13"/>
  <c r="J42" i="13" s="1"/>
  <c r="I41" i="13"/>
  <c r="J41" i="13" s="1"/>
  <c r="I40" i="13"/>
  <c r="J40" i="13" s="1"/>
  <c r="D107" i="14"/>
  <c r="I68" i="14"/>
  <c r="J68" i="14" s="1"/>
  <c r="A295" i="16"/>
  <c r="M206" i="15"/>
  <c r="N206" i="15" s="1"/>
  <c r="P206" i="15" s="1"/>
  <c r="G5" i="1"/>
  <c r="G3" i="1"/>
  <c r="G2" i="1"/>
  <c r="E4" i="1"/>
  <c r="E3" i="1"/>
  <c r="E2" i="1"/>
  <c r="B5" i="1"/>
  <c r="B4" i="1"/>
  <c r="B3" i="1"/>
  <c r="B2" i="1"/>
  <c r="J317" i="16"/>
  <c r="J306" i="16"/>
  <c r="K306" i="16" s="1"/>
  <c r="G74" i="13"/>
  <c r="G73" i="13"/>
  <c r="AF206" i="15" l="1"/>
  <c r="AG206" i="15" s="1"/>
  <c r="AI206" i="15" s="1"/>
  <c r="AH138" i="15"/>
  <c r="AH135" i="15"/>
  <c r="AH132" i="15"/>
  <c r="AH129" i="15"/>
  <c r="AH133" i="15"/>
  <c r="AH137" i="15"/>
  <c r="AH134" i="15"/>
  <c r="AH131" i="15"/>
  <c r="AH136" i="15"/>
  <c r="AH130" i="15"/>
  <c r="P138" i="15"/>
  <c r="P134" i="15"/>
  <c r="P131" i="15"/>
  <c r="P137" i="15"/>
  <c r="P133" i="15"/>
  <c r="P135" i="15"/>
  <c r="P132" i="15"/>
  <c r="P136" i="15"/>
  <c r="P130" i="15"/>
  <c r="E107" i="14"/>
  <c r="F107" i="14" s="1"/>
  <c r="N234" i="16"/>
  <c r="N233" i="16"/>
  <c r="K236" i="16"/>
  <c r="N235" i="16"/>
  <c r="N240" i="16"/>
  <c r="N241" i="16"/>
  <c r="N242" i="16"/>
  <c r="K238" i="16"/>
  <c r="K239" i="16"/>
  <c r="K243" i="16"/>
  <c r="K237" i="16"/>
  <c r="K244" i="16"/>
  <c r="K245" i="16"/>
  <c r="K246" i="16"/>
  <c r="L306" i="16"/>
  <c r="K317" i="16"/>
  <c r="L317" i="16" s="1"/>
  <c r="H2" i="2"/>
  <c r="I3" i="17"/>
  <c r="E5" i="1"/>
  <c r="I4" i="13" s="1"/>
  <c r="E6" i="1"/>
  <c r="I5" i="16" s="1"/>
  <c r="N4" i="13"/>
  <c r="G4" i="1"/>
  <c r="N3" i="13" s="1"/>
  <c r="N2" i="13"/>
  <c r="N1" i="13"/>
  <c r="I1" i="13"/>
  <c r="C4" i="13"/>
  <c r="C3" i="13"/>
  <c r="C2" i="13"/>
  <c r="C1" i="13"/>
  <c r="B229" i="16"/>
  <c r="M242" i="16"/>
  <c r="M241" i="16"/>
  <c r="M240" i="16"/>
  <c r="M235" i="16"/>
  <c r="M234" i="16"/>
  <c r="M233" i="16"/>
  <c r="J318" i="16"/>
  <c r="K318" i="16" s="1"/>
  <c r="L318" i="16" s="1"/>
  <c r="J316" i="16"/>
  <c r="K316" i="16" s="1"/>
  <c r="L316" i="16" s="1"/>
  <c r="J315" i="16"/>
  <c r="K315" i="16" s="1"/>
  <c r="J305" i="16"/>
  <c r="K305" i="16" s="1"/>
  <c r="D74" i="16"/>
  <c r="G74" i="16" s="1"/>
  <c r="H74" i="16" s="1"/>
  <c r="D73" i="16"/>
  <c r="G73" i="16" s="1"/>
  <c r="H73" i="16" s="1"/>
  <c r="D72" i="16"/>
  <c r="G72" i="16" s="1"/>
  <c r="H72" i="16" s="1"/>
  <c r="D71" i="16"/>
  <c r="G71" i="16" s="1"/>
  <c r="H71" i="16" s="1"/>
  <c r="D70" i="16"/>
  <c r="G70" i="16" s="1"/>
  <c r="H70" i="16" s="1"/>
  <c r="D115" i="12"/>
  <c r="N143" i="15" l="1"/>
  <c r="O143" i="15" s="1"/>
  <c r="Q143" i="15" s="1"/>
  <c r="N129" i="15"/>
  <c r="O129" i="15" s="1"/>
  <c r="Q129" i="15" s="1"/>
  <c r="N151" i="15"/>
  <c r="O151" i="15" s="1"/>
  <c r="Q151" i="15" s="1"/>
  <c r="AF132" i="15"/>
  <c r="AG132" i="15" s="1"/>
  <c r="AI132" i="15" s="1"/>
  <c r="AF137" i="15"/>
  <c r="AG137" i="15" s="1"/>
  <c r="AI137" i="15" s="1"/>
  <c r="AF149" i="15"/>
  <c r="AG149" i="15" s="1"/>
  <c r="AI149" i="15" s="1"/>
  <c r="AF145" i="15"/>
  <c r="AG145" i="15" s="1"/>
  <c r="AI145" i="15" s="1"/>
  <c r="AF138" i="15"/>
  <c r="AG138" i="15" s="1"/>
  <c r="AI138" i="15" s="1"/>
  <c r="AF136" i="15"/>
  <c r="AG136" i="15" s="1"/>
  <c r="AI136" i="15" s="1"/>
  <c r="AF130" i="15"/>
  <c r="AG130" i="15" s="1"/>
  <c r="AI130" i="15" s="1"/>
  <c r="AF133" i="15"/>
  <c r="AG133" i="15" s="1"/>
  <c r="AI133" i="15" s="1"/>
  <c r="AF146" i="15"/>
  <c r="AG146" i="15" s="1"/>
  <c r="AI146" i="15" s="1"/>
  <c r="AF134" i="15"/>
  <c r="AG134" i="15" s="1"/>
  <c r="AI134" i="15" s="1"/>
  <c r="AF131" i="15"/>
  <c r="AG131" i="15" s="1"/>
  <c r="AI131" i="15" s="1"/>
  <c r="AF135" i="15"/>
  <c r="AG135" i="15" s="1"/>
  <c r="AI135" i="15" s="1"/>
  <c r="N136" i="15"/>
  <c r="O136" i="15" s="1"/>
  <c r="Q136" i="15" s="1"/>
  <c r="N137" i="15"/>
  <c r="O137" i="15" s="1"/>
  <c r="Q137" i="15" s="1"/>
  <c r="N148" i="15"/>
  <c r="O148" i="15" s="1"/>
  <c r="Q148" i="15" s="1"/>
  <c r="N145" i="15"/>
  <c r="O145" i="15" s="1"/>
  <c r="Q145" i="15" s="1"/>
  <c r="N147" i="15"/>
  <c r="O147" i="15" s="1"/>
  <c r="Q147" i="15" s="1"/>
  <c r="AF143" i="15"/>
  <c r="AG143" i="15" s="1"/>
  <c r="AI143" i="15" s="1"/>
  <c r="N144" i="15"/>
  <c r="O144" i="15" s="1"/>
  <c r="Q144" i="15" s="1"/>
  <c r="AF129" i="15"/>
  <c r="AG129" i="15" s="1"/>
  <c r="AI129" i="15" s="1"/>
  <c r="N146" i="15"/>
  <c r="O146" i="15" s="1"/>
  <c r="Q146" i="15" s="1"/>
  <c r="N133" i="15"/>
  <c r="O133" i="15" s="1"/>
  <c r="Q133" i="15" s="1"/>
  <c r="N132" i="15"/>
  <c r="O132" i="15" s="1"/>
  <c r="Q132" i="15" s="1"/>
  <c r="N131" i="15"/>
  <c r="O131" i="15" s="1"/>
  <c r="Q131" i="15" s="1"/>
  <c r="N130" i="15"/>
  <c r="O130" i="15" s="1"/>
  <c r="Q130" i="15" s="1"/>
  <c r="N135" i="15"/>
  <c r="O135" i="15" s="1"/>
  <c r="Q135" i="15" s="1"/>
  <c r="N134" i="15"/>
  <c r="O134" i="15" s="1"/>
  <c r="Q134" i="15" s="1"/>
  <c r="N138" i="15"/>
  <c r="O138" i="15" s="1"/>
  <c r="Q138" i="15" s="1"/>
  <c r="H4" i="2"/>
  <c r="I2" i="14"/>
  <c r="I3" i="13"/>
  <c r="I2" i="13"/>
  <c r="J2" i="15"/>
  <c r="J4" i="15"/>
  <c r="I2" i="16"/>
  <c r="I2" i="17"/>
  <c r="O3" i="16"/>
  <c r="O3" i="17"/>
  <c r="I5" i="14"/>
  <c r="I5" i="17"/>
  <c r="I5" i="13"/>
  <c r="J5" i="15"/>
  <c r="H5" i="2"/>
  <c r="I4" i="14"/>
  <c r="I4" i="16"/>
  <c r="I4" i="17"/>
  <c r="I3" i="16"/>
  <c r="I3" i="14"/>
  <c r="H3" i="2"/>
  <c r="J3" i="15"/>
  <c r="L315" i="16"/>
  <c r="L305" i="16"/>
  <c r="L304" i="16"/>
  <c r="J260" i="15"/>
  <c r="P3" i="15"/>
  <c r="D43" i="13"/>
  <c r="E43" i="13" s="1"/>
  <c r="D42" i="13"/>
  <c r="E42" i="13" s="1"/>
  <c r="D41" i="13"/>
  <c r="E41" i="13" s="1"/>
  <c r="D40" i="13"/>
  <c r="E40" i="13" s="1"/>
  <c r="E70" i="14"/>
  <c r="E69" i="14"/>
  <c r="E68" i="14"/>
  <c r="E67" i="14"/>
  <c r="N3" i="14"/>
  <c r="N4" i="14"/>
  <c r="O4" i="16" l="1"/>
  <c r="O4" i="17"/>
  <c r="P4" i="15"/>
  <c r="O3" i="2" l="1"/>
  <c r="C4" i="16" l="1"/>
  <c r="C4" i="17"/>
  <c r="C4" i="15"/>
  <c r="C4" i="14"/>
  <c r="O1" i="17"/>
  <c r="O1" i="16"/>
  <c r="N1" i="14"/>
  <c r="P1" i="15"/>
  <c r="O2" i="17"/>
  <c r="O2" i="16"/>
  <c r="N2" i="14"/>
  <c r="P2" i="15"/>
  <c r="C1" i="17"/>
  <c r="C1" i="16"/>
  <c r="C1" i="14"/>
  <c r="C1" i="15"/>
  <c r="C2" i="17"/>
  <c r="C2" i="16"/>
  <c r="C2" i="14"/>
  <c r="C2" i="15"/>
  <c r="C3" i="17"/>
  <c r="C3" i="16"/>
  <c r="C3" i="14"/>
  <c r="C3" i="15"/>
  <c r="I1" i="17"/>
  <c r="I1" i="16"/>
  <c r="I1" i="14"/>
  <c r="J1" i="15"/>
  <c r="C4" i="2"/>
  <c r="O2" i="2"/>
  <c r="C1" i="2"/>
  <c r="O4" i="2"/>
  <c r="C3" i="2"/>
  <c r="H1" i="2"/>
  <c r="C2" i="2"/>
  <c r="O1" i="2"/>
</calcChain>
</file>

<file path=xl/sharedStrings.xml><?xml version="1.0" encoding="utf-8"?>
<sst xmlns="http://schemas.openxmlformats.org/spreadsheetml/2006/main" count="2059" uniqueCount="828">
  <si>
    <t>Generelle data til ark i måleskemaer :</t>
  </si>
  <si>
    <t>Region :</t>
  </si>
  <si>
    <t/>
  </si>
  <si>
    <t>Kontroltype :</t>
  </si>
  <si>
    <t>Firma :</t>
  </si>
  <si>
    <t>Apparat / Model :</t>
  </si>
  <si>
    <t>Dato for kontrol :</t>
  </si>
  <si>
    <t>Serie nr.:</t>
  </si>
  <si>
    <t>Kontrol udført af :</t>
  </si>
  <si>
    <t>Rum nr. :</t>
  </si>
  <si>
    <t>Tech ID :</t>
  </si>
  <si>
    <t>Rapport afsendt :</t>
  </si>
  <si>
    <t>Generelle oplysninger :</t>
  </si>
  <si>
    <t>Region</t>
  </si>
  <si>
    <t xml:space="preserve">Fabrikat  </t>
  </si>
  <si>
    <t xml:space="preserve">Leverandør  </t>
  </si>
  <si>
    <t xml:space="preserve">Apparat / Model  </t>
  </si>
  <si>
    <t xml:space="preserve">Serie nr. </t>
  </si>
  <si>
    <t xml:space="preserve">Installationsdato  </t>
  </si>
  <si>
    <t xml:space="preserve">Kontroltype  </t>
  </si>
  <si>
    <t xml:space="preserve">Dato for kontrol  </t>
  </si>
  <si>
    <t xml:space="preserve">Rapport afsendt  </t>
  </si>
  <si>
    <t xml:space="preserve">Kontrol udført af  </t>
  </si>
  <si>
    <t xml:space="preserve">Telefon nr.  </t>
  </si>
  <si>
    <t xml:space="preserve">Email  </t>
  </si>
  <si>
    <t xml:space="preserve">Software version  </t>
  </si>
  <si>
    <t xml:space="preserve">1. Måleudstyr  </t>
  </si>
  <si>
    <t xml:space="preserve">2. Måleudstyr  </t>
  </si>
  <si>
    <t xml:space="preserve">Måleskema Excel  </t>
  </si>
  <si>
    <t xml:space="preserve">Måleskema version  </t>
  </si>
  <si>
    <t xml:space="preserve">Dato for seneste revision  </t>
  </si>
  <si>
    <t>Kontakt</t>
  </si>
  <si>
    <t>Farvekode</t>
  </si>
  <si>
    <t>Farven markerer at der kan skrives i cellen. Kun lyse gule celler er åbne for indtastning af data og tekst.</t>
  </si>
  <si>
    <t>Lister - måleværdier</t>
  </si>
  <si>
    <t>Alle celler til valg af kV og anode-filter kombination er listeceller, så valg kan foretages fra drop-down menu</t>
  </si>
  <si>
    <t>Lister - målemetoder m.m.</t>
  </si>
  <si>
    <t>Alle celler til valg af metoder, ja/nej m.m. er listeceller, så valg kan foretages fra drop-down menu</t>
  </si>
  <si>
    <t>Kontroloversigt</t>
  </si>
  <si>
    <t>Bemærkninger :</t>
  </si>
  <si>
    <t>Test mode :</t>
  </si>
  <si>
    <t>Tolerance :</t>
  </si>
  <si>
    <t>Måling</t>
  </si>
  <si>
    <t>Program</t>
  </si>
  <si>
    <t>kV</t>
  </si>
  <si>
    <t>mA</t>
  </si>
  <si>
    <t>Pulsrate</t>
  </si>
  <si>
    <t>Framerate</t>
  </si>
  <si>
    <t>p/s</t>
  </si>
  <si>
    <t>fr/s</t>
  </si>
  <si>
    <t>mGy/s</t>
  </si>
  <si>
    <t>Afv.</t>
  </si>
  <si>
    <t>%</t>
  </si>
  <si>
    <t>Feltstør.</t>
  </si>
  <si>
    <t>cm</t>
  </si>
  <si>
    <t>Max</t>
  </si>
  <si>
    <t>FLUORO - gennemlysning</t>
  </si>
  <si>
    <t>aflæst</t>
  </si>
  <si>
    <t>korr. RP</t>
  </si>
  <si>
    <t>målt</t>
  </si>
  <si>
    <t>mGy/min</t>
  </si>
  <si>
    <t>Res.</t>
  </si>
  <si>
    <t>mGy</t>
  </si>
  <si>
    <t>mGycm2</t>
  </si>
  <si>
    <t>Rel. Afv.</t>
  </si>
  <si>
    <t>OK</t>
  </si>
  <si>
    <t>Automatik</t>
  </si>
  <si>
    <t>Afdeling :</t>
  </si>
  <si>
    <t>Hospital / Sygehus :</t>
  </si>
  <si>
    <t>Hospital / Sygehus</t>
  </si>
  <si>
    <t>Afdeling</t>
  </si>
  <si>
    <t>Statuskontrol</t>
  </si>
  <si>
    <t xml:space="preserve">Antal </t>
  </si>
  <si>
    <t>skiver</t>
  </si>
  <si>
    <t>ja</t>
  </si>
  <si>
    <t>lavkontrast</t>
  </si>
  <si>
    <t>Lavkontrast</t>
  </si>
  <si>
    <t>Antal</t>
  </si>
  <si>
    <t>højkontrast</t>
  </si>
  <si>
    <t>grupper</t>
  </si>
  <si>
    <t>Højkontrast</t>
  </si>
  <si>
    <t>lp/mm</t>
  </si>
  <si>
    <t>Manuel</t>
  </si>
  <si>
    <t xml:space="preserve">kV </t>
  </si>
  <si>
    <t>Nominel</t>
  </si>
  <si>
    <t xml:space="preserve">Målt </t>
  </si>
  <si>
    <t>Kontrol af blænder</t>
  </si>
  <si>
    <t>Højspændingskabler</t>
  </si>
  <si>
    <t>Håndudløsere</t>
  </si>
  <si>
    <t>Fodkontakter</t>
  </si>
  <si>
    <t>Bemærkninger</t>
  </si>
  <si>
    <t>C-buens bevægelser</t>
  </si>
  <si>
    <t>Bremse (Hjulbremse) på C-bue samt evt. monitorvogn.</t>
  </si>
  <si>
    <t>Bevægelser af arm til monitor samt evt. låse på disse.</t>
  </si>
  <si>
    <t>Gennemlysnings tid</t>
  </si>
  <si>
    <t>nominel</t>
  </si>
  <si>
    <t>Rel afv.</t>
  </si>
  <si>
    <t>Modtage-</t>
  </si>
  <si>
    <t>kontrol</t>
  </si>
  <si>
    <t>Baseline</t>
  </si>
  <si>
    <t>Billed-</t>
  </si>
  <si>
    <t>homogenitet</t>
  </si>
  <si>
    <t>Artefakter</t>
  </si>
  <si>
    <t>ja/nej</t>
  </si>
  <si>
    <t>1 mm Cu plade</t>
  </si>
  <si>
    <t>Monitor</t>
  </si>
  <si>
    <t>Ingen forvrængning af testobjektet på skærmbilledet.</t>
  </si>
  <si>
    <t>Dosis</t>
  </si>
  <si>
    <t>niveau</t>
  </si>
  <si>
    <t>Dosis D</t>
  </si>
  <si>
    <t>Pulsrate [p/s]</t>
  </si>
  <si>
    <t>Feltstørrelse [cm]</t>
  </si>
  <si>
    <t>Brug af raster [ja/nej]</t>
  </si>
  <si>
    <t>nej</t>
  </si>
  <si>
    <t>Forvrængning</t>
  </si>
  <si>
    <t>Dato</t>
  </si>
  <si>
    <t>Ionkammer</t>
  </si>
  <si>
    <t>fra baseline</t>
  </si>
  <si>
    <t>PMMA [cm]</t>
  </si>
  <si>
    <t>RP [cm] ( Gennemlysning RP = 30 cm, Mini C bue RP = 5 cm )</t>
  </si>
  <si>
    <t>display</t>
  </si>
  <si>
    <t>≤ 25 %</t>
  </si>
  <si>
    <t>IKKE OK</t>
  </si>
  <si>
    <t>OK / IKKE OK</t>
  </si>
  <si>
    <t>Modtagekontrol</t>
  </si>
  <si>
    <t>Modalitetstype</t>
  </si>
  <si>
    <t>Mini C bue</t>
  </si>
  <si>
    <t>N/A</t>
  </si>
  <si>
    <t>Detektor typer ( SSD halvleder eller ionkammer )</t>
  </si>
  <si>
    <t>KAP meter</t>
  </si>
  <si>
    <t>Sæt X</t>
  </si>
  <si>
    <t xml:space="preserve">2.1 Testparametre </t>
  </si>
  <si>
    <t xml:space="preserve">2.1 Målinger </t>
  </si>
  <si>
    <t xml:space="preserve">2.2 Testparametre </t>
  </si>
  <si>
    <t xml:space="preserve">2.3 Målinger </t>
  </si>
  <si>
    <t xml:space="preserve">3.1 Testparametre </t>
  </si>
  <si>
    <t>Resultat</t>
  </si>
  <si>
    <t>Målt</t>
  </si>
  <si>
    <t>Maks.</t>
  </si>
  <si>
    <t>Testobjekt</t>
  </si>
  <si>
    <t xml:space="preserve">2.2 Målinger </t>
  </si>
  <si>
    <t xml:space="preserve">2.3 Testparametre </t>
  </si>
  <si>
    <t>Kontrollen udføres uden ydre filtrering.</t>
  </si>
  <si>
    <t xml:space="preserve">2.5 Målinger </t>
  </si>
  <si>
    <t xml:space="preserve">3.2 Testparametre </t>
  </si>
  <si>
    <t>Raster [ ja/nej ]</t>
  </si>
  <si>
    <t xml:space="preserve">4.1 Testparametre </t>
  </si>
  <si>
    <t xml:space="preserve">4.1 Målinger </t>
  </si>
  <si>
    <t xml:space="preserve">4.2 Testparametre </t>
  </si>
  <si>
    <t>Gennemlys med automatik indtil skærmbilledet har stabiliseret sig.</t>
  </si>
  <si>
    <t xml:space="preserve">4.2 Målinger </t>
  </si>
  <si>
    <t xml:space="preserve">4.3 Testparametre </t>
  </si>
  <si>
    <t xml:space="preserve">4.3 Målinger </t>
  </si>
  <si>
    <t>≤ 4,0 %</t>
  </si>
  <si>
    <t>≤ 2,7 %</t>
  </si>
  <si>
    <t>Feltstørrelse FD</t>
  </si>
  <si>
    <t>FD &gt; 30 cm</t>
  </si>
  <si>
    <t>1,0 lp/mm</t>
  </si>
  <si>
    <t>24 cm &lt; FD ≤ 30 cm</t>
  </si>
  <si>
    <t>1,4 lp/mm</t>
  </si>
  <si>
    <t>18 cm &lt; FD ≤ 24 cm</t>
  </si>
  <si>
    <t>1,6 lp/mm</t>
  </si>
  <si>
    <t>15 cm &lt; FD ≤ 18 cm</t>
  </si>
  <si>
    <t>1,8 lp/mm</t>
  </si>
  <si>
    <t>FD ≤ 15 cm</t>
  </si>
  <si>
    <t>2,0 lp/mm</t>
  </si>
  <si>
    <t>Minimum opløsningsevne</t>
  </si>
  <si>
    <t xml:space="preserve">Netkabler </t>
  </si>
  <si>
    <t>Alle kabeludfald samt fiksering af disse.</t>
  </si>
  <si>
    <t>Evt. fastinstalleret leje</t>
  </si>
  <si>
    <t>Transportable C buer  :</t>
  </si>
  <si>
    <t>C-buens bevægelser Fig. 1</t>
  </si>
  <si>
    <t>Endestop, bevægelighed, udbalancering/fiksering.</t>
  </si>
  <si>
    <t>X-akse rotation. (Orbital) samt bremse.</t>
  </si>
  <si>
    <t>Y-akse rotation. sidevejs på undervogn, typisk 5-20 grader, Afprøves til yderkanter samt bremse.</t>
  </si>
  <si>
    <t>Z-akse rotation (Propella) samt bremse.</t>
  </si>
  <si>
    <t>Undervogns bevægelser Fig. 2</t>
  </si>
  <si>
    <t>Frem og tilbage "glider på undervogn". Afprøves til yderkanter samt bremse.</t>
  </si>
  <si>
    <t>Y Vertikal /Elektrisk op og ned. Skal køre jævnt uden mislyde. Afprøves til yderkanter.</t>
  </si>
  <si>
    <t>Z Køre frem og tilbage.</t>
  </si>
  <si>
    <t>X Køre sidelæns</t>
  </si>
  <si>
    <t>Fastspænding af alle dele.</t>
  </si>
  <si>
    <t>Nødstop skal fungere efter hensigten</t>
  </si>
  <si>
    <t>Fastinstalleret C buer  :</t>
  </si>
  <si>
    <t>Y-akse rotation, ved gulv eller loft ophæng.</t>
  </si>
  <si>
    <t>Monitorer</t>
  </si>
  <si>
    <t>Ud-balancering.</t>
  </si>
  <si>
    <t>Leje</t>
  </si>
  <si>
    <t>Bremse. Flydefunktion.</t>
  </si>
  <si>
    <t xml:space="preserve">Vertikal og horisontal bevægelse. og evt. kip. Elektrisk op og ned. Skal køre jævnt uden mislyde. </t>
  </si>
  <si>
    <r>
      <rPr>
        <b/>
        <sz val="10"/>
        <color theme="1"/>
        <rFont val="Verdana"/>
        <family val="2"/>
      </rPr>
      <t>Nødstop</t>
    </r>
    <r>
      <rPr>
        <sz val="10"/>
        <color theme="1"/>
        <rFont val="Verdana"/>
        <family val="2"/>
      </rPr>
      <t xml:space="preserve"> skal fungere efter hensigten</t>
    </r>
  </si>
  <si>
    <t>Røntgen ON</t>
  </si>
  <si>
    <t>MANGLER</t>
  </si>
  <si>
    <t>AFVENTER</t>
  </si>
  <si>
    <t>MFE</t>
  </si>
  <si>
    <t xml:space="preserve">2.4 Testparametre </t>
  </si>
  <si>
    <t>SSD detektor</t>
  </si>
  <si>
    <t>Detektor typer ( SSD detektor eller ionkammer )</t>
  </si>
  <si>
    <t>2.4 Eksponeringsindikator og alarm</t>
  </si>
  <si>
    <t>2. Kontrol af mekaniske og geometriske parametre</t>
  </si>
  <si>
    <t>2.2 Feltstørrelser</t>
  </si>
  <si>
    <t>3. Kontrol af røntgenrør og generator</t>
  </si>
  <si>
    <t>3.1 Højspænding (kVp)</t>
  </si>
  <si>
    <t>5. Kontrol af billedkvalitet</t>
  </si>
  <si>
    <t>5.2 Billedhomogenitet og artefakter</t>
  </si>
  <si>
    <t>6. Eftersyn</t>
  </si>
  <si>
    <t>6.1 Eftersyn af ledninger, stikpropper, aflastninger og isolation</t>
  </si>
  <si>
    <t>6.2 Eftersyn og afprøvning af mekaniske dele</t>
  </si>
  <si>
    <t>2.1 Source Image Distance (SID)</t>
  </si>
  <si>
    <t>NB:</t>
  </si>
  <si>
    <t>Fast SID</t>
  </si>
  <si>
    <t>Variabel SID</t>
  </si>
  <si>
    <t>SID</t>
  </si>
  <si>
    <t>Cirkulære felter:</t>
  </si>
  <si>
    <t>Ved gennemlysning bestemmes strålefeltets størrelse som cirkelfeltets diameter.</t>
  </si>
  <si>
    <t>Ved gennemlysning bestemmes strålefeltets størrelse som kantlængden af strålingsfeltets længste kant eller diagonal.</t>
  </si>
  <si>
    <t>SID [cm]</t>
  </si>
  <si>
    <t>Afv. rel.</t>
  </si>
  <si>
    <t>cirkulær</t>
  </si>
  <si>
    <t>2.4. Eksponeringsindikator og alarm</t>
  </si>
  <si>
    <t xml:space="preserve">2.4 Målinger </t>
  </si>
  <si>
    <t>Kontrol af indikator og alarm</t>
  </si>
  <si>
    <t>B. Hørbar alarm efter 5 min.</t>
  </si>
  <si>
    <t>3.1. Højspænding (kVp)</t>
  </si>
  <si>
    <t>Ved mulighed for manuel indstilling af kVp:</t>
  </si>
  <si>
    <t>Hvor manuel indstilling af kVp ikke er muligt:</t>
  </si>
  <si>
    <t>Afdæk billeddetektoren så kVp justerer til klinisk relevant område, gennemlys og aflæs kV-meteret.</t>
  </si>
  <si>
    <t>3.1 Målinger :</t>
  </si>
  <si>
    <t>Metode [ manuel kV / auto kV ]</t>
  </si>
  <si>
    <t>manuel kV</t>
  </si>
  <si>
    <t>auto kV</t>
  </si>
  <si>
    <t>Manuel kV / auto kV</t>
  </si>
  <si>
    <t>HVL</t>
  </si>
  <si>
    <t>mm Al</t>
  </si>
  <si>
    <t xml:space="preserve">TF </t>
  </si>
  <si>
    <t>3.2 Målinger :</t>
  </si>
  <si>
    <t>Pulsrate [ p/s ]</t>
  </si>
  <si>
    <t>≤ 35 %</t>
  </si>
  <si>
    <t>RF DI 1</t>
  </si>
  <si>
    <t>RF DI 2</t>
  </si>
  <si>
    <t>Nomimel</t>
  </si>
  <si>
    <t>korr. til RPDI</t>
  </si>
  <si>
    <t>C bue</t>
  </si>
  <si>
    <t xml:space="preserve">Lodret </t>
  </si>
  <si>
    <t>Vandret</t>
  </si>
  <si>
    <t>Projektion ved måling ( Lodret / Vandret )</t>
  </si>
  <si>
    <t>Intervention</t>
  </si>
  <si>
    <t>korr. BSF</t>
  </si>
  <si>
    <t>Undersøgelses</t>
  </si>
  <si>
    <t>type</t>
  </si>
  <si>
    <t>Barium us</t>
  </si>
  <si>
    <t>Hjerte</t>
  </si>
  <si>
    <t>Tolerance</t>
  </si>
  <si>
    <t>≤ mGy/min</t>
  </si>
  <si>
    <t>≤ mGy/frame</t>
  </si>
  <si>
    <t>Angio/DSA</t>
  </si>
  <si>
    <t>max.</t>
  </si>
  <si>
    <t>Max.</t>
  </si>
  <si>
    <t>min.</t>
  </si>
  <si>
    <t>korr. BSF &amp; RP</t>
  </si>
  <si>
    <t>Dosimeteret placeres direkte på detektoren så den automatiske dosishastighedsregulering ikke påvirkes.</t>
  </si>
  <si>
    <t>Modtagekontrollens målinger angiver referenceværdier for kommende kontroller.</t>
  </si>
  <si>
    <t>Leje i strålegang ( ja / nej )</t>
  </si>
  <si>
    <t xml:space="preserve">5.1 Testparametre </t>
  </si>
  <si>
    <t xml:space="preserve">5.1 Målinger </t>
  </si>
  <si>
    <t xml:space="preserve">5.2 Testparametre </t>
  </si>
  <si>
    <t xml:space="preserve">5.2 Målinger </t>
  </si>
  <si>
    <t xml:space="preserve">5.3 Testparametre </t>
  </si>
  <si>
    <t xml:space="preserve">5.3 Målinger </t>
  </si>
  <si>
    <t xml:space="preserve">5.4 Testparametre </t>
  </si>
  <si>
    <t xml:space="preserve">5.5 Testparametre </t>
  </si>
  <si>
    <t>Anbring testfantomet med cirkelobjekt direkte på billedforstærkeren.</t>
  </si>
  <si>
    <t xml:space="preserve">5.6 Testparametre </t>
  </si>
  <si>
    <t>Vælg mest anvendte kliniske gennemlysningsprogram.</t>
  </si>
  <si>
    <t>Højkontrastopløsning ved gennemlysning:</t>
  </si>
  <si>
    <t>FLUORO - Program</t>
  </si>
  <si>
    <t>CINE - Program</t>
  </si>
  <si>
    <t>Visuel</t>
  </si>
  <si>
    <t>Dicom-fil</t>
  </si>
  <si>
    <t>vedlagt</t>
  </si>
  <si>
    <t>Kontrast</t>
  </si>
  <si>
    <t>synlig</t>
  </si>
  <si>
    <t>Raster [ja/nej]</t>
  </si>
  <si>
    <t>minimum</t>
  </si>
  <si>
    <t>6.1. Eftersyn af ledninger, stikpropper, aflastninger og isolation</t>
  </si>
  <si>
    <t>6 Målinger :</t>
  </si>
  <si>
    <t>6.2. Eftersyn og afprøvning af mekaniske dele</t>
  </si>
  <si>
    <t>A. Aktivering af eksponeringsindikator</t>
  </si>
  <si>
    <t>mGy/frame</t>
  </si>
  <si>
    <t>frame/s</t>
  </si>
  <si>
    <t>Frame rate</t>
  </si>
  <si>
    <t>Dose rate</t>
  </si>
  <si>
    <t>dose rate</t>
  </si>
  <si>
    <t>visuel</t>
  </si>
  <si>
    <t>0/5 - 95/100</t>
  </si>
  <si>
    <t xml:space="preserve">5.5 Målinger </t>
  </si>
  <si>
    <t>QUART 18 FL</t>
  </si>
  <si>
    <t>Testfantom</t>
  </si>
  <si>
    <t xml:space="preserve">Leeds TOR </t>
  </si>
  <si>
    <t>18 FG</t>
  </si>
  <si>
    <t xml:space="preserve">QUART </t>
  </si>
  <si>
    <t xml:space="preserve">FL 18 </t>
  </si>
  <si>
    <t>n/a</t>
  </si>
  <si>
    <t>Kontrol af</t>
  </si>
  <si>
    <t>fuld blænde</t>
  </si>
  <si>
    <t>kileblænder</t>
  </si>
  <si>
    <t>PEHAMED</t>
  </si>
  <si>
    <t>2.3 Blænde og blændefunktion</t>
  </si>
  <si>
    <t>5.3. Lysstyrke- og kontrastindstillinger på monitorer</t>
  </si>
  <si>
    <t>4.4 Testparametre</t>
  </si>
  <si>
    <t>4.4 Målinger</t>
  </si>
  <si>
    <t>4.5  Overførsel af dosisværdier</t>
  </si>
  <si>
    <t>4.5 Testparametre</t>
  </si>
  <si>
    <t>4.5 Målinger</t>
  </si>
  <si>
    <t>5.3  Lysstyrke- og kontrastindstillinger på monitorer</t>
  </si>
  <si>
    <t>Intet</t>
  </si>
  <si>
    <t>Apparaturet sættes op til overførsel til PACS.</t>
  </si>
  <si>
    <t>En testundersøgelse overføres.</t>
  </si>
  <si>
    <t>KAP-værdi kommer over med korrekt enhed</t>
  </si>
  <si>
    <t>PACS</t>
  </si>
  <si>
    <t>Overførsel af data til PACS med korrekt KAP enhed ved testundersøgelse</t>
  </si>
  <si>
    <t>Overførsel</t>
  </si>
  <si>
    <t>Test udført</t>
  </si>
  <si>
    <t>og godkendt</t>
  </si>
  <si>
    <t>Desuden anbefales det, at indstillet minimumslystæthed, Lmin, kalibreres til en værdi på minimum 0,5 cd/m2, gerne omkring 1 cd/m2 hvis det er muligt</t>
  </si>
  <si>
    <t xml:space="preserve">Mål lystætheden i det sorte (minimum lystæthed) og det hvide (maksimal lystæthed) felt på testbillederne </t>
  </si>
  <si>
    <t xml:space="preserve">Ved statuskontrol: Billedet vurderes visuelt. Ved tvivl, om billedet kan accepteres som homogent eller ikke, anvendes metode for modtagekontrol </t>
  </si>
  <si>
    <t>Rd</t>
  </si>
  <si>
    <t>Lamb</t>
  </si>
  <si>
    <t>Lmin</t>
  </si>
  <si>
    <t>Lmaks</t>
  </si>
  <si>
    <t>L`maks / L´min</t>
  </si>
  <si>
    <t>L</t>
  </si>
  <si>
    <t>center</t>
  </si>
  <si>
    <t>Homogenitet</t>
  </si>
  <si>
    <t>Luminansmåler ( Near range / Teleskopisk )</t>
  </si>
  <si>
    <t>Near range</t>
  </si>
  <si>
    <t>Teleskopisk</t>
  </si>
  <si>
    <t>cd/m2</t>
  </si>
  <si>
    <t>målt hvid</t>
  </si>
  <si>
    <t>målt sort</t>
  </si>
  <si>
    <t>Kontrastforhold</t>
  </si>
  <si>
    <t>Belysningsstyrke ( Lux ) [ default = 100 ]</t>
  </si>
  <si>
    <t>Kontrollen udføres på én monitor.</t>
  </si>
  <si>
    <t>Vælg feltstørrelse på ca. 25 cm.</t>
  </si>
  <si>
    <t>Følg fantomets specifikationer for brug af ydre filtrering ved gennemlysningen.</t>
  </si>
  <si>
    <t>Fantomet placeres direkte på billeddetektoren.</t>
  </si>
  <si>
    <t>Testfantom med cirkelobjekt.</t>
  </si>
  <si>
    <t>Udføres kun på én monitor.</t>
  </si>
  <si>
    <t>Cine-optagelse/eksponering:</t>
  </si>
  <si>
    <t>Billeder fra vurdering af lavkontrastfølsomhed vedlægges kontrollen som en ukomprimeret DICOM-fil.</t>
  </si>
  <si>
    <t>Kontrollen udføres for alle monitorer.</t>
  </si>
  <si>
    <t>Hvis en monitorvogn kan anvendes med flere C-buer uanset fabrikat og model, anses kontrollen som udført, hvis den er udført med én C-bue.</t>
  </si>
  <si>
    <t>QUART FL 18</t>
  </si>
  <si>
    <t>PEHAMED D</t>
  </si>
  <si>
    <t>Pehamed</t>
  </si>
  <si>
    <t>Fluoro D</t>
  </si>
  <si>
    <t>Fluoro</t>
  </si>
  <si>
    <t>målt/beregnet</t>
  </si>
  <si>
    <t>ESAKR</t>
  </si>
  <si>
    <t>setting</t>
  </si>
  <si>
    <t>IAKR</t>
  </si>
  <si>
    <t>Logisk navn</t>
  </si>
  <si>
    <t>af program</t>
  </si>
  <si>
    <t>5.1 Kontrol af monitorer</t>
  </si>
  <si>
    <t>Test fantom - vælg fra liste</t>
  </si>
  <si>
    <t xml:space="preserve">5.4 Målinger </t>
  </si>
  <si>
    <t>5.6 Forvrængning af monitorbillede (kun for billedforstærker)</t>
  </si>
  <si>
    <t>5.6 Målinger</t>
  </si>
  <si>
    <t>2.5 Raster</t>
  </si>
  <si>
    <t>Strålefelt</t>
  </si>
  <si>
    <t xml:space="preserve">2.5 Raster </t>
  </si>
  <si>
    <t>Filtrering [mm Cu]</t>
  </si>
  <si>
    <t>Modalitetstype :</t>
  </si>
  <si>
    <t xml:space="preserve">2.5 Testparametre </t>
  </si>
  <si>
    <t>Rasteret skal kunne fjernes ved pædiatrisk brug for apparater installeret efter 2013.</t>
  </si>
  <si>
    <t>Kontrol af raster</t>
  </si>
  <si>
    <t>Kan raster fjernes uden brug af værktøj ?</t>
  </si>
  <si>
    <t>ja / nej</t>
  </si>
  <si>
    <t>Krav</t>
  </si>
  <si>
    <t>min. HVL</t>
  </si>
  <si>
    <t>3.2. Halvværdilag og totalfiltrering</t>
  </si>
  <si>
    <r>
      <t xml:space="preserve">TF </t>
    </r>
    <r>
      <rPr>
        <sz val="11"/>
        <color theme="1"/>
        <rFont val="Calibri"/>
        <family val="2"/>
      </rPr>
      <t>≥ 2,5 mm Al</t>
    </r>
  </si>
  <si>
    <t>Projektion ved måling [ Lodret / Vandret }</t>
  </si>
  <si>
    <t>Projektion ved måling [ Lodret / Vandret ]</t>
  </si>
  <si>
    <t>Værdi af DI indikator synlig på apparat [ ja/nej ]</t>
  </si>
  <si>
    <t>ΔDI = D2 - D1</t>
  </si>
  <si>
    <t>Enhed for DI indikator på apparat</t>
  </si>
  <si>
    <t>dGycm2</t>
  </si>
  <si>
    <t>cGycm2</t>
  </si>
  <si>
    <t>Gycm2</t>
  </si>
  <si>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Gym2</t>
    </r>
  </si>
  <si>
    <t>dGy</t>
  </si>
  <si>
    <t>cGy</t>
  </si>
  <si>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Gy</t>
    </r>
  </si>
  <si>
    <t>Enhed for dosishastigheds indikator på apparat</t>
  </si>
  <si>
    <t>dGy/s</t>
  </si>
  <si>
    <t>cGy/s</t>
  </si>
  <si>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Gy/s</t>
    </r>
  </si>
  <si>
    <t>µGy/s</t>
  </si>
  <si>
    <t>Raster</t>
  </si>
  <si>
    <t>Højdosis /</t>
  </si>
  <si>
    <t>Boost</t>
  </si>
  <si>
    <t>indstilling</t>
  </si>
  <si>
    <t>DMS</t>
  </si>
  <si>
    <t xml:space="preserve">Kontrast &gt; 250 </t>
  </si>
  <si>
    <t>Testbillede til hvid ( f.eks. TG 18 testbillede )</t>
  </si>
  <si>
    <t>Testbillede til sort ( f.eks. TG 18 testbillede )</t>
  </si>
  <si>
    <t>Testbillede ( f.eks. TG 18 testbillede )</t>
  </si>
  <si>
    <t>Evt. bemærkninger til kontrol af artefakter og billedhomogenitet angives i bemærkningfeltet ovenfor !</t>
  </si>
  <si>
    <t>&lt; 30 %</t>
  </si>
  <si>
    <t>5.4 Lavkontrastfølsomhed</t>
  </si>
  <si>
    <t>5.5 Højkontrastopløsning</t>
  </si>
  <si>
    <t>Ydre filtrering [mm Cu]</t>
  </si>
  <si>
    <t>Ydre filtering [mm Cu]</t>
  </si>
  <si>
    <t>Ydre filtrering: Følg testfantomets specifikationer.</t>
  </si>
  <si>
    <t>OK - Farven markerer resultatet af en måling eller udregning  - eller at resultatet er inden for tolerancen</t>
  </si>
  <si>
    <t>IKKE OK - Farven markerer at resultatet er uden for tolerancen</t>
  </si>
  <si>
    <t>Kontakt MFE - Farven markerer at resultatet af målingen skal drøftes med den medicinsk-fysiske ekspert</t>
  </si>
  <si>
    <t xml:space="preserve">Leverandør ID  </t>
  </si>
  <si>
    <t>FPD Flat Panel Detektor</t>
  </si>
  <si>
    <t>BF Billed Forstærker</t>
  </si>
  <si>
    <t xml:space="preserve">Dato for seneste kontrol  </t>
  </si>
  <si>
    <t>Leverandør ID :</t>
  </si>
  <si>
    <t>Leverandør :</t>
  </si>
  <si>
    <t>3.2 Halvværdilag og totalfiltrering</t>
  </si>
  <si>
    <t xml:space="preserve">4.5 Overførsel af dosisværdier	</t>
  </si>
  <si>
    <t>Yderligere afdækning af billeddetektor [ blyforklæde / stålplade / PMMA ]</t>
  </si>
  <si>
    <t>Dato :</t>
  </si>
  <si>
    <t>rektangulær</t>
  </si>
  <si>
    <t>Testobjekt [ rektangulær / cirkulær ]</t>
  </si>
  <si>
    <t>Felttype [ cirkulær / rektangulær ]</t>
  </si>
  <si>
    <t>OK / MFE</t>
  </si>
  <si>
    <t>Kun modtagekontrol</t>
  </si>
  <si>
    <t>Felt [ rektangulært / cirkulært ]</t>
  </si>
  <si>
    <t>Felt ( rektangulært / cirkulært )</t>
  </si>
  <si>
    <t>Projektion</t>
  </si>
  <si>
    <t>Vertikal</t>
  </si>
  <si>
    <t>Horizontal</t>
  </si>
  <si>
    <t>Bi-plan</t>
  </si>
  <si>
    <t>Bi-plan rør A</t>
  </si>
  <si>
    <t>Bi-plan rør B</t>
  </si>
  <si>
    <t>Afvigelse</t>
  </si>
  <si>
    <t>fra</t>
  </si>
  <si>
    <t>Årligt eftersyn</t>
  </si>
  <si>
    <t xml:space="preserve">Gennemlysningsenhed </t>
  </si>
  <si>
    <t>A. Advarselslyd ved højdosis-/ boostindstilling</t>
  </si>
  <si>
    <t>Overførsel af  data til DMS med korrekt KAP-enhed</t>
  </si>
  <si>
    <t>R/F system</t>
  </si>
  <si>
    <t>µGy</t>
  </si>
  <si>
    <t>Enheder</t>
  </si>
  <si>
    <t>KAP</t>
  </si>
  <si>
    <t>µGym2</t>
  </si>
  <si>
    <t xml:space="preserve">KAP </t>
  </si>
  <si>
    <t>Enhed for aflæst dosis på dosimeter</t>
  </si>
  <si>
    <t>Enhed for aflæst dosishastighed på dosimeter</t>
  </si>
  <si>
    <t>dosishast</t>
  </si>
  <si>
    <t>Bi-plan rør A   Vertikal</t>
  </si>
  <si>
    <t>Bi-plan rør B   Horizontal</t>
  </si>
  <si>
    <t>Gennemlys: Justér dernæst de virtuelle blænder på skærmbilledet til testobjektets kontur.</t>
  </si>
  <si>
    <t>Hvis gennemlysningsapparaturet har kileblænder, kontrolleres funktionaliteten af disse</t>
  </si>
  <si>
    <t>Totalfiltreringen bestemmes ud fra HVL.</t>
  </si>
  <si>
    <t>4. Kontrol af dosis og dosishastighed</t>
  </si>
  <si>
    <t>Anbring et testobjekt med veldefineret areal direkte på billeddetektoren (f.eks. en Cu-plade eller et testfantom).</t>
  </si>
  <si>
    <t>Dosimeteret anbringes centralt i strålefeltet oven på testfantomet.</t>
  </si>
  <si>
    <t>Notér reference-KAP-metrets målte KAP-værdi efter endt gennemlysning.</t>
  </si>
  <si>
    <t>Værdi af dosishastighedsindikator i RP synlig på apparat [ ja/nej ]</t>
  </si>
  <si>
    <t>4.2 Indgangsdosishastighed til PMMA</t>
  </si>
  <si>
    <t>Hvis muligt udføres kontrollen uden leje i strålegangen og ved minimum SID. For multifunktionsapparatur anvendes en SID på 1 meter.</t>
  </si>
  <si>
    <t>Måleopstillinger</t>
  </si>
  <si>
    <t xml:space="preserve">Lodret strålegang (fig. 1): </t>
  </si>
  <si>
    <t>Vandret strålegang (fig. 2):</t>
  </si>
  <si>
    <t xml:space="preserve">Mini C-buer (fig. 3): </t>
  </si>
  <si>
    <t>Samme fremgangsmåde som fig. 1 for lodret strålegang, dog med 5 cm PMMA.</t>
  </si>
  <si>
    <t>Figur 3. Mini C-buer.</t>
  </si>
  <si>
    <t>4.4 Indgangsdosishastighed til billeddetektor</t>
  </si>
  <si>
    <t>Under gennemlysning noteres aflæst kV, mA og dosishastighed på dosimeteret.</t>
  </si>
  <si>
    <t>Apparaturet sættes op til overførsel af RDSR til dosismonitoreringssystem (evt. via PACS)</t>
  </si>
  <si>
    <t>Testbilleder til kontrol af kontrastforhold: SMPTE-133, TG18-LN12-1 og TG18-LN12-18 eller tilsvarende. Testbilledet skal indeholde helt sort og helt hvidt.</t>
  </si>
  <si>
    <t>Testbillede til kontrol af homogenitet: TG18-UN80 eller tilsvarende.</t>
  </si>
  <si>
    <t>Testbilleder til kontrol af artefakter: TG18-UN10 og TG18-UN80, eller tilsvarende.</t>
  </si>
  <si>
    <t>Luminansmåler.</t>
  </si>
  <si>
    <t>hvor det af afdelingens/klinikkens KAS-læger/specialeansvarlige vurderes, at man opnår de bedste kliniske resultater med en anden LUT-kurve.</t>
  </si>
  <si>
    <t xml:space="preserve">Som udgangspunkt anbefales det, at monitorer indstilles til LUT som overholder DICOM GSDF-standarden. Der kan dog afviges fra dette i tilfælde, </t>
  </si>
  <si>
    <t>Definitioner:</t>
  </si>
  <si>
    <t>Modtage- og statuskontrol:</t>
  </si>
  <si>
    <t>Billede fra gennemlysning brugt til vurdering af billedkvaliteten gemmes og vedlægges kontrollen som en ukomprimeret DICOM-fil.</t>
  </si>
  <si>
    <t>Ydre filtrering fastgøres på udgangen af røntgenrøret.</t>
  </si>
  <si>
    <t>Mini C-buer:</t>
  </si>
  <si>
    <t>Samme procedure som ved gennemlysning.</t>
  </si>
  <si>
    <t>Modtagekontrol:</t>
  </si>
  <si>
    <t>Statuskontrol:</t>
  </si>
  <si>
    <t>Kontrollen udføres for én feltstørrelse (ca. 25 cm) på alle monitorer.</t>
  </si>
  <si>
    <t>Kontrollen udføres for øvrige feltstørrelser på én monitor.</t>
  </si>
  <si>
    <t>Anvend gerne digital zoom/forstørrelse af billedet ved evaluering af højkontrastopløsningen.</t>
  </si>
  <si>
    <t>Kontrollen udføres under fuld udblænding for alle systemets mulige feltstørrelser.</t>
  </si>
  <si>
    <t>Placér kobberfilter i strålegangen for at beskytte detektor.</t>
  </si>
  <si>
    <t>Udføres nemmest med overbordsrør.</t>
  </si>
  <si>
    <t>Der må ikke kunne blændes mere end 2 % af SID ud over billedfeltet</t>
  </si>
  <si>
    <t>Felt [ rektangulær / cirkulær ]</t>
  </si>
  <si>
    <t>CINE - optagelse / eksponering</t>
  </si>
  <si>
    <t>4.3 Maksimal indgangsdosishastighed og apparatets dosisindikator, DI</t>
  </si>
  <si>
    <t xml:space="preserve">  </t>
  </si>
  <si>
    <t>Detektor [ ionkammer / SSD detektor / ekstern KAP meter ]</t>
  </si>
  <si>
    <t>4.1</t>
  </si>
  <si>
    <t>Dosimeter</t>
  </si>
  <si>
    <t>Maksimal dosishastighed og apparatets dosisindikator, DI</t>
  </si>
  <si>
    <t>Maksimal dosishastighed</t>
  </si>
  <si>
    <t>Apparatets dosisindikator, DI</t>
  </si>
  <si>
    <t>Indstilling af kV [ manuel / auto ]</t>
  </si>
  <si>
    <t>Kvalitetskontrol af apparatur til gennemlysning og intervention</t>
  </si>
  <si>
    <t>Modtage- og statuskontrol samt eftersyn</t>
  </si>
  <si>
    <t>Datavalidering - Lister</t>
  </si>
  <si>
    <t>Opslag dosis</t>
  </si>
  <si>
    <t>Opslag - HVL</t>
  </si>
  <si>
    <t>Opslag - Højkontrast og Lavkontrast</t>
  </si>
  <si>
    <t>Leje i strålegang [ ja / nej ]</t>
  </si>
  <si>
    <t>Medusa nr. / Apparat nr.:</t>
  </si>
  <si>
    <t>Generelt:</t>
  </si>
  <si>
    <t>Rektangulære felter:</t>
  </si>
  <si>
    <t>Udføres om muligt som overbordsrør, alternativt vandret strålegang.</t>
  </si>
  <si>
    <t xml:space="preserve">Blænderne køres herefter helt ud. Der må ikke kunne blændes ud over billedfeltet. Dette kan enten kontrolleres ved, at blænderne </t>
  </si>
  <si>
    <r>
      <rPr>
        <b/>
        <sz val="11"/>
        <color theme="1"/>
        <rFont val="Calibri"/>
        <family val="2"/>
        <scheme val="minor"/>
      </rPr>
      <t>B:</t>
    </r>
    <r>
      <rPr>
        <sz val="11"/>
        <color theme="1"/>
        <rFont val="Calibri"/>
        <family val="2"/>
        <scheme val="minor"/>
      </rPr>
      <t xml:space="preserve"> Hørbar alarm skal aktiveres efter maksimalt 5 min. samlet effektiv gennemlysningstid.</t>
    </r>
  </si>
  <si>
    <t xml:space="preserve"> Pædiatrisk brug</t>
  </si>
  <si>
    <t>kV–meter</t>
  </si>
  <si>
    <t>Placér kV-meteret direkte på billeddetektoren eller på lejet.</t>
  </si>
  <si>
    <t>Indstil gennemlysningsapparatet til en fast kVp-værdi, gennemlys og aflæs kV–meteret.</t>
  </si>
  <si>
    <t xml:space="preserve">Ellers bestemmes HVL alternativt ved standard dosismålinger med forskellige tykkelse Al-plader til en dosisreduktion på 50 % er opnået. </t>
  </si>
  <si>
    <t xml:space="preserve">Dosismålingerne bør foretages 50 cm - 100 cm fra fokus og ved 70 – 80 kVp. (Detaljeret procedure kan findes i EFOMP dynamic x-ray). </t>
  </si>
  <si>
    <t>Totalfiltreringen skal være ≥ 2,5 mm Al uafhængigt af kV - se tabel i vejledning</t>
  </si>
  <si>
    <t xml:space="preserve">Måling af lystæthed anbefales udført med near-range luminansmåler[1], da målingen herved er uafhængig af faktisk belysningsstyrke i rummet, </t>
  </si>
  <si>
    <t xml:space="preserve">som for gennemlysningsapparatur, ofte kan være svær at kontrollere. Monitorens kontrastforhold kan derefter eftervises i en beregning, </t>
  </si>
  <si>
    <t>Gennemlys og vurdér visuelt om billedet fremstår homogent med ensartet gråtone-niveau og er uden synlige artefakter.</t>
  </si>
  <si>
    <t>Billedet bør fremstå homogent med ensartet gråtoneniveau.</t>
  </si>
  <si>
    <t>Ingen artefakter, der har indflydelse på diagnostikken.</t>
  </si>
  <si>
    <t>Fantom: Testfantom til kontrol af billedkvalitet.</t>
  </si>
  <si>
    <t>Gennemlysning</t>
  </si>
  <si>
    <t>Efter endt gennemlysning vurderes om kontrastforskellen i lavkontrastfelterne [0 % - 5 %] og [95 % - 100 %] er synlige.</t>
  </si>
  <si>
    <t>Ved statuskontrol bør der mindst kunne ses referenceværdi minus to skiver.</t>
  </si>
  <si>
    <r>
      <rPr>
        <i/>
        <sz val="11"/>
        <color theme="1"/>
        <rFont val="Calibri"/>
        <family val="2"/>
        <scheme val="minor"/>
      </rPr>
      <t>Gennemlysning</t>
    </r>
    <r>
      <rPr>
        <sz val="11"/>
        <color theme="1"/>
        <rFont val="Calibri"/>
        <family val="2"/>
        <scheme val="minor"/>
      </rPr>
      <t>: Lavkontrastfølsomhed bør være ≤ 4,0 %.</t>
    </r>
  </si>
  <si>
    <r>
      <rPr>
        <i/>
        <sz val="11"/>
        <color theme="1"/>
        <rFont val="Calibri"/>
        <family val="2"/>
        <scheme val="minor"/>
      </rPr>
      <t>Loftshængte monitorer og monitorvogne:</t>
    </r>
    <r>
      <rPr>
        <sz val="11"/>
        <color theme="1"/>
        <rFont val="Calibri"/>
        <family val="2"/>
        <scheme val="minor"/>
      </rPr>
      <t xml:space="preserve"> Bør ikke have en ringere billedkvalitet end monitor på gennemlysningsapparatet.</t>
    </r>
  </si>
  <si>
    <t>Fremgangsmåde:</t>
  </si>
  <si>
    <t>Vælg mest anvendte kliniske gennemlysningsprogram og passende cine-optagelse/eksponering.</t>
  </si>
  <si>
    <t>Efter endt gennemlysning noteres kVp og mA.</t>
  </si>
  <si>
    <t>Aflæs, hvor mange grupper af linjepar der er synlige på skærmbilledet og notér antallet. Til et gruppenummer svarer et antal linjepar pr. mm.</t>
  </si>
  <si>
    <t xml:space="preserve">Højkontrastopløsning ved Cine-optagelse/eksponering: </t>
  </si>
  <si>
    <t>Billeder fra vurdering af opløsningsevnen vedlægges kontrollen som en ukomprimeret DICOM-fil.</t>
  </si>
  <si>
    <t>Kontrollen kan udføres både med og uden ydre filtrering.</t>
  </si>
  <si>
    <t>Vurdér ved gennemlysning, om testfantomets cirkelobjekt fremtræder som en cirkel uden forvrængning på skærmbilledet.</t>
  </si>
  <si>
    <t>6.3. Eftersyn af kontrolpanel og displays</t>
  </si>
  <si>
    <t>Manual / Automatik</t>
  </si>
  <si>
    <t>Justér blænderne så blændekanter flugter med testfantomets kontur og et veldefineret areal opnås.</t>
  </si>
  <si>
    <t>Placér 20 cm PMMA direkte på billeddetektoren.</t>
  </si>
  <si>
    <t>Anbring dosimeteret direkte oven på PMMA-pladerne i strålefeltet, så den automatiske dosishastighedsregulering ikke påvirkes af dosimeteret.</t>
  </si>
  <si>
    <t>For multifunktionsapparatur anvendes en SID på 1 meter.</t>
  </si>
  <si>
    <t xml:space="preserve">Automatik </t>
  </si>
  <si>
    <t>Noter følgende parametre: SID, med/uden raster, med/uden leje i strålegang.</t>
  </si>
  <si>
    <t>Ved statuskontrol bør afvigelsen i forhold til referenceværdier være ≤ 25 %</t>
  </si>
  <si>
    <t>Navngivning af indstillinger skal være retvisende.</t>
  </si>
  <si>
    <t xml:space="preserve">Ved gentaget modtagekontrol efter reparation måles op imod gældende referenceværdier fra tidligere modtagekontrol. </t>
  </si>
  <si>
    <t>Hvis afvigelsen er &gt; 25 % gentages kontrolpunkt 4.2 og 4.3 og der etableres nye referenceværdier for fremtidige kontroller.</t>
  </si>
  <si>
    <t>For interventionsapparatur skal overførslen ske automatisk</t>
  </si>
  <si>
    <t>Enhed</t>
  </si>
  <si>
    <t>Apparatur</t>
  </si>
  <si>
    <t>Måleinstrument</t>
  </si>
  <si>
    <t xml:space="preserve">H [cm] = afstanden fra billeddetektorens ydre overflade til dosimeter </t>
  </si>
  <si>
    <t xml:space="preserve">Apparatur </t>
  </si>
  <si>
    <t>Enhed for aflæst dosishastigheds på dosimeter</t>
  </si>
  <si>
    <t>RP DI 1</t>
  </si>
  <si>
    <t>RP DI 2</t>
  </si>
  <si>
    <t>da disse data automatisk overføres til relevante celler i resten af måleskemaet.</t>
  </si>
  <si>
    <t>Det er vigtigt at skemaet 'Generelle oplysninger' udfyldes med data som det allerførste,</t>
  </si>
  <si>
    <t xml:space="preserve">under arbejdsprocessen, men der er Ikke noget password, så man selv har mulighed </t>
  </si>
  <si>
    <t>for at tilpasse måleskemaet til eget brug.</t>
  </si>
  <si>
    <t>VIGTIGT !</t>
  </si>
  <si>
    <t xml:space="preserve">Vær omhyggelig med at angive enheder for målte og nominelle dosisværdier i </t>
  </si>
  <si>
    <t>Ark 4.' Dosis og dosishastighed' for korrekt beregning af kontrollens resultater</t>
  </si>
  <si>
    <t xml:space="preserve">Dato for kalibrering  </t>
  </si>
  <si>
    <t xml:space="preserve">2.2 Feltstørrelser </t>
  </si>
  <si>
    <t xml:space="preserve">2.1 Source Image Distance (SID) </t>
  </si>
  <si>
    <t>Ved regelmæssig brug til pædiatri, skal rasteret kunne fjernes uden værktøj.</t>
  </si>
  <si>
    <t>Andre</t>
  </si>
  <si>
    <t>LEEDS 18 FL</t>
  </si>
  <si>
    <t>LEEDS 18 FG</t>
  </si>
  <si>
    <t>Filtrering</t>
  </si>
  <si>
    <t>mm Al/Cu</t>
  </si>
  <si>
    <t>Regulering af SID. Elektrisk. Afprøves til yderkanter.</t>
  </si>
  <si>
    <r>
      <t>4.1 KAP-værdi ( P</t>
    </r>
    <r>
      <rPr>
        <b/>
        <vertAlign val="subscript"/>
        <sz val="14"/>
        <color theme="1"/>
        <rFont val="Calibri"/>
        <family val="2"/>
        <scheme val="minor"/>
      </rPr>
      <t>KA</t>
    </r>
    <r>
      <rPr>
        <b/>
        <sz val="14"/>
        <color theme="1"/>
        <rFont val="Calibri"/>
        <family val="2"/>
        <scheme val="minor"/>
      </rPr>
      <t xml:space="preserve"> )</t>
    </r>
  </si>
  <si>
    <t xml:space="preserve">Mini C-buer: </t>
  </si>
  <si>
    <t>Gennemlys ved 3 forskellige strålekvaliteter, f.eks. 50, 70 og 100 kVp.</t>
  </si>
  <si>
    <t>Anbring reference KAP-metret direkte ved udgangen af røntgenrøret.</t>
  </si>
  <si>
    <t>PKA 1</t>
  </si>
  <si>
    <t>PKA 2</t>
  </si>
  <si>
    <r>
      <t>Værdi af KAP ( P</t>
    </r>
    <r>
      <rPr>
        <vertAlign val="subscript"/>
        <sz val="11"/>
        <rFont val="Calibri"/>
        <family val="2"/>
        <scheme val="minor"/>
      </rPr>
      <t>KA</t>
    </r>
    <r>
      <rPr>
        <sz val="11"/>
        <rFont val="Calibri"/>
        <family val="2"/>
        <scheme val="minor"/>
      </rPr>
      <t xml:space="preserve"> ) indikator synlig på apparat [ ja/nej ]</t>
    </r>
  </si>
  <si>
    <r>
      <t>Enhed for KAP ( P</t>
    </r>
    <r>
      <rPr>
        <vertAlign val="subscript"/>
        <sz val="11"/>
        <rFont val="Calibri"/>
        <family val="2"/>
        <scheme val="minor"/>
      </rPr>
      <t>KA</t>
    </r>
    <r>
      <rPr>
        <sz val="11"/>
        <rFont val="Calibri"/>
        <family val="2"/>
        <scheme val="minor"/>
      </rPr>
      <t xml:space="preserve"> ) indikator på apparat </t>
    </r>
  </si>
  <si>
    <r>
      <t>Enhed for aflæst KAP værdi ( P</t>
    </r>
    <r>
      <rPr>
        <vertAlign val="subscript"/>
        <sz val="11"/>
        <rFont val="Calibri"/>
        <family val="2"/>
        <scheme val="minor"/>
      </rPr>
      <t>KA</t>
    </r>
    <r>
      <rPr>
        <sz val="11"/>
        <rFont val="Calibri"/>
        <family val="2"/>
        <scheme val="minor"/>
      </rPr>
      <t xml:space="preserve"> ) på ekstern KAP meter</t>
    </r>
  </si>
  <si>
    <r>
      <t>Kontrol af KAP ( P</t>
    </r>
    <r>
      <rPr>
        <b/>
        <vertAlign val="subscript"/>
        <sz val="11"/>
        <color theme="1"/>
        <rFont val="Calibri"/>
        <family val="2"/>
        <scheme val="minor"/>
      </rPr>
      <t>KA</t>
    </r>
    <r>
      <rPr>
        <b/>
        <sz val="11"/>
        <color theme="1"/>
        <rFont val="Calibri"/>
        <family val="2"/>
        <scheme val="minor"/>
      </rPr>
      <t xml:space="preserve"> )</t>
    </r>
  </si>
  <si>
    <t>KAP-værdi skal være synlig for betjeningspersonale under intervention/langvarige gennemlysninger.</t>
  </si>
  <si>
    <r>
      <t>4.1 KAP-værdi ( P</t>
    </r>
    <r>
      <rPr>
        <vertAlign val="subscript"/>
        <sz val="11"/>
        <color theme="1"/>
        <rFont val="Calibri"/>
        <family val="2"/>
        <scheme val="minor"/>
      </rPr>
      <t>KA</t>
    </r>
    <r>
      <rPr>
        <sz val="11"/>
        <color theme="1"/>
        <rFont val="Calibri"/>
        <family val="2"/>
        <scheme val="minor"/>
      </rPr>
      <t xml:space="preserve"> )</t>
    </r>
  </si>
  <si>
    <t>4.3. Maksimal indgangsdosishastighed og apparatets dosisindikator, DI</t>
  </si>
  <si>
    <r>
      <t>KAP ( P</t>
    </r>
    <r>
      <rPr>
        <vertAlign val="subscript"/>
        <sz val="10"/>
        <color theme="1"/>
        <rFont val="Verdana"/>
        <family val="2"/>
      </rPr>
      <t>KA</t>
    </r>
    <r>
      <rPr>
        <sz val="10"/>
        <color theme="1"/>
        <rFont val="Verdana"/>
        <family val="2"/>
      </rPr>
      <t xml:space="preserve"> )</t>
    </r>
  </si>
  <si>
    <t>Modalitetstype *</t>
  </si>
  <si>
    <t>Detektortype *</t>
  </si>
  <si>
    <t>Udfyld nedenstående felter - * = obligatorisk - relevante data overføres automatisk til data-headeren i alle ark !</t>
  </si>
  <si>
    <t>PKA (display)</t>
  </si>
  <si>
    <t>Raster ( ja / nej )</t>
  </si>
  <si>
    <t>Lmaks &gt; 300</t>
  </si>
  <si>
    <t>øvre højre</t>
  </si>
  <si>
    <t>nedre højre</t>
  </si>
  <si>
    <t>nedre venstre</t>
  </si>
  <si>
    <t>øvre venstre</t>
  </si>
  <si>
    <t xml:space="preserve">Nominel </t>
  </si>
  <si>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Gy/min</t>
    </r>
  </si>
  <si>
    <t>cGy/min</t>
  </si>
  <si>
    <t>dGy/min</t>
  </si>
  <si>
    <t>µGy/min</t>
  </si>
  <si>
    <t>4.2</t>
  </si>
  <si>
    <t>Testbillede ( Lmax )</t>
  </si>
  <si>
    <t>Testbillede ( Lmin )</t>
  </si>
  <si>
    <t xml:space="preserve"> </t>
  </si>
  <si>
    <t>Eksempler på testbilleder fra AAPM TG -18 ( https://euref.org/download/taskgroup-18-images-version-4/ ) som DCM-filer:</t>
  </si>
  <si>
    <t xml:space="preserve">              Figur 1. Lodret strålegang.</t>
  </si>
  <si>
    <t xml:space="preserve">                 Figur 2. Vandret strålegang</t>
  </si>
  <si>
    <t>Figur 4. Eksempel på måleopstilling.</t>
  </si>
  <si>
    <t>Figur 5. Eksempel med og uden objekt i periferien</t>
  </si>
  <si>
    <t>Figur 6. Eksempel på uacceptabel inhomogenitet</t>
  </si>
  <si>
    <t>Figur 7. Testfantom, hvor lavkontrastfelterne [0 % - 5 %] og [95 % - 100 %] er fremhævet med rød kant</t>
  </si>
  <si>
    <t>Figur 8. Testfantom med markerede lavkontrastskiver</t>
  </si>
  <si>
    <t xml:space="preserve">Loftshængte monitorer og monitorvogne må ikke have en ringere billedkvalitet </t>
  </si>
  <si>
    <t>end monitor på gennemlysningsapparatet.</t>
  </si>
  <si>
    <t>Figur 9. Linjeparfantom med nummererede linjepargrupper</t>
  </si>
  <si>
    <t>Figur 10. Testfantom med markeret cirkelobjekt</t>
  </si>
  <si>
    <t>Modtagekontrol og Statuskontrol</t>
  </si>
  <si>
    <t xml:space="preserve">Husk altid at udfylde 'Modalitetstype' og 'Detektortype', da denne oplysning har </t>
  </si>
  <si>
    <t xml:space="preserve">stor betydning for mange beregninger og for angivelse af tolerancer m.m. i vejledningens </t>
  </si>
  <si>
    <t>kontroller</t>
  </si>
  <si>
    <t>Rum nr. / Stue nr.</t>
  </si>
  <si>
    <t>Farvekode*</t>
  </si>
  <si>
    <t>Husk altid at udfylde 'Modalitetstype' og 'Detektortype' !</t>
  </si>
  <si>
    <t>Procedure :</t>
  </si>
  <si>
    <t>Notér værdier i display og mål afstandene med målebåndet.</t>
  </si>
  <si>
    <t>Fantom med røntgenfaste markeringer/trådnet med kendte dimensioner kan også anvendes.</t>
  </si>
  <si>
    <t>Overensstemmelsen mellem blænder og strålingsfelt vurderes og bør være ≤ 2 % af SID.</t>
  </si>
  <si>
    <t>maksimalt 5 minutters samlet effektiv gennemlysningstid.</t>
  </si>
  <si>
    <t xml:space="preserve">      Målingen gentages for min. 3 forskellige kVp-værdier, passende fordelt over klinisk relevant kVp-interval, ved at afdække </t>
  </si>
  <si>
    <t xml:space="preserve">      detektoren med varierende tykkelser af attenuerende materiale.</t>
  </si>
  <si>
    <t>Måleudstyr :</t>
  </si>
  <si>
    <t>Evt. kan kalibreret løst/reference KAP-meter anvendes til kontrol af indbygget KAP-meter.</t>
  </si>
  <si>
    <t xml:space="preserve">1. Måling af PKA med dosimeter: </t>
  </si>
  <si>
    <t xml:space="preserve">Før gennemlysning igangsættes aflæses værdien PKA1 som angivet på gennemlysningsapparatet. </t>
  </si>
  <si>
    <t xml:space="preserve">Der gennemlyses i tilstrækkelig tid til at ændringen i PKA på gennemlysningsapparatet kan registreres med mindst 2 betydende cifre. </t>
  </si>
  <si>
    <t xml:space="preserve">Afdæk billeddetektoren så kVp justeres til klinisk relevant område. </t>
  </si>
  <si>
    <t>Placer dosimeter ovenpå afdækningen.</t>
  </si>
  <si>
    <t>Benyt den samme måleprocedure som beskrevet ovenfor med to forskellige strålekvaliteter, f.eks. 50 og 70 kVp, og en gennemlysningstid på minimum 20 sekunder.</t>
  </si>
  <si>
    <t>Vælg feltstørrelse med kendt areal over 100 cm2.</t>
  </si>
  <si>
    <t>2. Måling af PKA med reference-KAP-meter:</t>
  </si>
  <si>
    <t xml:space="preserve">   </t>
  </si>
  <si>
    <t>Areal</t>
  </si>
  <si>
    <t>cm2</t>
  </si>
  <si>
    <t>Bemærk :</t>
  </si>
  <si>
    <t xml:space="preserve">Hvis kontrolpunktet i stedet udføres efter leverandøres egen måleprocedure </t>
  </si>
  <si>
    <t>angives dette i feltet til højre:</t>
  </si>
  <si>
    <t>Fil-navn på vedhæftet dokument :</t>
  </si>
  <si>
    <t>Yderligere data noteres nedenfor :</t>
  </si>
  <si>
    <t>Dokumentation for automatisk dosishastighedsregulering for de mest anvendte kliniske organprogrammer - vedlagt :</t>
  </si>
  <si>
    <t>Medusa nr. / Apparat nr.</t>
  </si>
  <si>
    <t>Reflektions-</t>
  </si>
  <si>
    <t>koefficient</t>
  </si>
  <si>
    <r>
      <t>Kontrol af visning af KAP ( P</t>
    </r>
    <r>
      <rPr>
        <vertAlign val="subscript"/>
        <sz val="11"/>
        <color theme="1"/>
        <rFont val="Calibri"/>
        <family val="2"/>
        <scheme val="minor"/>
      </rPr>
      <t>KA</t>
    </r>
    <r>
      <rPr>
        <sz val="11"/>
        <color theme="1"/>
        <rFont val="Calibri"/>
        <family val="2"/>
        <scheme val="minor"/>
      </rPr>
      <t xml:space="preserve"> ), DI og dosishastighedsindikator i display ( Kun modtagekontrol )</t>
    </r>
  </si>
  <si>
    <t>Display</t>
  </si>
  <si>
    <t xml:space="preserve">Bi-plan </t>
  </si>
  <si>
    <t>SID ( Fast SID / Variabel SID )</t>
  </si>
  <si>
    <t>Detektor feltstørrelse [ cm ]</t>
  </si>
  <si>
    <t>Enhed for DI indikator på apparat ?</t>
  </si>
  <si>
    <t>Low</t>
  </si>
  <si>
    <t>Raster [ ja/nej ] ved brug af CINE</t>
  </si>
  <si>
    <t>1 mm Cu</t>
  </si>
  <si>
    <t>1 mm  Cu</t>
  </si>
  <si>
    <t>10.02.2026</t>
  </si>
  <si>
    <t xml:space="preserve">H [cm] = afstanden fra detektorkabinetets ydre overflade til dosimeter </t>
  </si>
  <si>
    <t>sis@dk</t>
  </si>
  <si>
    <t>Alle henvendelser om evt. fejl og mangler i måleskemaet rettes til SIS</t>
  </si>
  <si>
    <t xml:space="preserve">SID[cm] </t>
  </si>
  <si>
    <t>L [cm] = afstanden fra detektorkabinettets ydre overflade til RPDI ( datablad )</t>
  </si>
  <si>
    <t>Firma måleprocedure :</t>
  </si>
  <si>
    <t>For apparatur med fast SID:</t>
  </si>
  <si>
    <t>Mål afstand fra fokusplet til detektorens ydre overflade.</t>
  </si>
  <si>
    <t>For apparatur med variabel SID:</t>
  </si>
  <si>
    <t>Indstil til minimum, maksimum og en mellemliggende SID, hvis muligt.</t>
  </si>
  <si>
    <t>Den relative afvigelse skal være ≤ 1,5 %.</t>
  </si>
  <si>
    <t>Målebånd</t>
  </si>
  <si>
    <t>Lineal og mønter/markeringer el.lign. / Eller røntgenfast lineal / Kobberfilter</t>
  </si>
  <si>
    <t xml:space="preserve">Anbring en røntgenfast lineal eller en almindelig lineal og to røntgenfaste markeringer direkte på billeddetektoren, så linealen </t>
  </si>
  <si>
    <t>følger cirklens diameter og eventuelle markeringerne rammer kanten af feltet.</t>
  </si>
  <si>
    <t xml:space="preserve">følger det rektangulære strålingsfelts længste kant og eventuelle markeringerne rammer hjørnerne af feltet. Hvis diagonal er </t>
  </si>
  <si>
    <t>angivet, måles denne.</t>
  </si>
  <si>
    <t xml:space="preserve">Den relative afvigelse bør være ≤ 2 % af SID. </t>
  </si>
  <si>
    <t>Testobjekt med kendte mål og evt. røntgenfast lineal</t>
  </si>
  <si>
    <t xml:space="preserve">Anbring et testobjekt med kendte mål direkte på billeddetektoren (f.eks. 1 mm Cu-plade ca. 15 cm x 15 cm ved rektangulære </t>
  </si>
  <si>
    <t>blænder eller et cirkulært testfantom ved irisblænde).</t>
  </si>
  <si>
    <t xml:space="preserve">Anbring evt. en røntgenfast lineal langs diameteren af det cirkulære testobjekt eller langs den længste kant eller diagonal </t>
  </si>
  <si>
    <t>af det rektangulære testobjekt.</t>
  </si>
  <si>
    <t xml:space="preserve">Under gennemlysning bestemmes afvigelsen mellem blændekant og strålingsfelt ved f.eks. at måle/vurdere afvigelsen </t>
  </si>
  <si>
    <t>mellem strålefeltets og testfantomets dimensioner.</t>
  </si>
  <si>
    <t xml:space="preserve">stadig anes i kanten af billedet ved fuldt udblændet felt, eller ved at lytte efter at motorlyd for blænder stopper, netop som blænderne </t>
  </si>
  <si>
    <t>ikke længere ses på billedet.</t>
  </si>
  <si>
    <t>Hvis apparatet har en højdosis-/boostindstilling, kontrolleres at advarselslyd aktiveres under gennemlysning, når denne er valgt.</t>
  </si>
  <si>
    <r>
      <rPr>
        <b/>
        <sz val="11"/>
        <color theme="1"/>
        <rFont val="Calibri"/>
        <family val="2"/>
        <scheme val="minor"/>
      </rPr>
      <t>A:</t>
    </r>
    <r>
      <rPr>
        <sz val="11"/>
        <color theme="1"/>
        <rFont val="Calibri"/>
        <family val="2"/>
        <scheme val="minor"/>
      </rPr>
      <t xml:space="preserve"> Kontrollér om eksponeringsindikator aktiveres under gennemlysning. Eksponeringsindikator kan være lyd, lys eller begge dele.</t>
    </r>
  </si>
  <si>
    <r>
      <rPr>
        <b/>
        <sz val="11"/>
        <color theme="1"/>
        <rFont val="Calibri"/>
        <family val="2"/>
        <scheme val="minor"/>
      </rPr>
      <t xml:space="preserve">B: </t>
    </r>
    <r>
      <rPr>
        <sz val="11"/>
        <color theme="1"/>
        <rFont val="Calibri"/>
        <family val="2"/>
        <scheme val="minor"/>
      </rPr>
      <t xml:space="preserve">Fortsæt med efterfølgende kontrolpunkter og registrer parallelt hermed om hørbar alarmindikator aktiveres efter </t>
    </r>
  </si>
  <si>
    <t>Afdæk detektor og/eller nedjuster kVp og mA manuelt, hvis der ikke nås op på 5 minutters samlet effektiv gennemlysningstid ved</t>
  </si>
  <si>
    <t>Advarselslyd skal straks aktiveres ved påbegyndt gennemlysning på højdosis-/boostindstilling.</t>
  </si>
  <si>
    <t>udførelsen af de efterfølgende kontrolpunkter og det derfor er nødvendigt at gennemlyse yderligere for at gennemføre denne kontrol.</t>
  </si>
  <si>
    <r>
      <rPr>
        <b/>
        <sz val="11"/>
        <color theme="1"/>
        <rFont val="Calibri"/>
        <family val="2"/>
        <scheme val="minor"/>
      </rPr>
      <t xml:space="preserve">A: </t>
    </r>
    <r>
      <rPr>
        <sz val="11"/>
        <color theme="1"/>
        <rFont val="Calibri"/>
        <family val="2"/>
        <scheme val="minor"/>
      </rPr>
      <t>Eksponeringsindikator skal straks aktiveres ved påbegyndt gennemlysning.</t>
    </r>
  </si>
  <si>
    <t>Kontroller om raster kan fjernes uden brug af værktøj.</t>
  </si>
  <si>
    <t>Gentag målingen for minimum 3 forskellige kVp-værdier, passende fordelt over klinisk relevant kVp-interval.</t>
  </si>
  <si>
    <t xml:space="preserve">      Ved modtagekontrol:</t>
  </si>
  <si>
    <t xml:space="preserve">      Ved statuskontrol:</t>
  </si>
  <si>
    <t xml:space="preserve">      Måling ved en kVp-værdi er tilstrækkelig.</t>
  </si>
  <si>
    <t xml:space="preserve">Den relative afvigelse skal være ≤ 8 % </t>
  </si>
  <si>
    <t xml:space="preserve">Dosimeter med samtidig angivelse af HVL og totalfiltrering. Alternativt tynde aluminiumsplader. </t>
  </si>
  <si>
    <t xml:space="preserve">Målingerne kan være udført i kontrolpunkt 3.1, hvis der er benyttet dosimeter med mulighed for samtidig angivelse af </t>
  </si>
  <si>
    <t xml:space="preserve">både HVL og totalfiltrering. </t>
  </si>
  <si>
    <t>HVL varierer med både indbygget filtreringsmateriale og anvendt kV.</t>
  </si>
  <si>
    <t>Totalfiltreringen bør ikke ændre sig væsentligt efter et rørskifte.</t>
  </si>
  <si>
    <t xml:space="preserve">Dosimeter. Testobjekt med kendte mål eller målebånd/røntgenlineal. </t>
  </si>
  <si>
    <t>Kontrol af apparatets KAP-værdi udføres uden leje i strålegangen og kan udføres på to måder:</t>
  </si>
  <si>
    <t>Alternativt kan feltstørrelsen måles med målebånd/røntgenlineal eller fuld udblænding ved kendt feltstørrelse kan anvendes.</t>
  </si>
  <si>
    <t>Notér hvilke dosisindikatorer på apparatets display, der er synlige for brugeren.</t>
  </si>
  <si>
    <t xml:space="preserve">Efter endt gennemlysning aflæses værdien PKA2 som angivet på gennemlysningsapparatet og målt dosis D for gennemlysningsperioden aflæses på dosimeteret. </t>
  </si>
  <si>
    <t xml:space="preserve">Juster blænderne til et veldefineret areal i dosimeterplanet, </t>
  </si>
  <si>
    <t>Gennemlys i ca. 20 sekunder.</t>
  </si>
  <si>
    <r>
      <t xml:space="preserve">      </t>
    </r>
    <r>
      <rPr>
        <b/>
        <sz val="11"/>
        <color theme="1"/>
        <rFont val="Calibri"/>
        <family val="2"/>
        <scheme val="minor"/>
      </rPr>
      <t>Modtagekontrol</t>
    </r>
    <r>
      <rPr>
        <sz val="11"/>
        <color theme="1"/>
        <rFont val="Calibri"/>
        <family val="2"/>
        <scheme val="minor"/>
      </rPr>
      <t xml:space="preserve">: målingen gentages for min. 3 forskellige kVp-værdier, passende fordelt over klinisk relevant kVp-interval, ved at afdække detektoren med </t>
    </r>
  </si>
  <si>
    <t xml:space="preserve">      varierende tykkelser af attenuerende materiale.</t>
  </si>
  <si>
    <r>
      <t xml:space="preserve">      </t>
    </r>
    <r>
      <rPr>
        <b/>
        <sz val="11"/>
        <color theme="1"/>
        <rFont val="Calibri"/>
        <family val="2"/>
        <scheme val="minor"/>
      </rPr>
      <t>Statuskontrol:</t>
    </r>
    <r>
      <rPr>
        <sz val="11"/>
        <color theme="1"/>
        <rFont val="Calibri"/>
        <family val="2"/>
        <scheme val="minor"/>
      </rPr>
      <t xml:space="preserve"> Måling ved én kVp-værdi er tilstrækkelig.</t>
    </r>
  </si>
  <si>
    <t xml:space="preserve">Følg derefter samme måleprocedure som beskrevet ovenfor for både gennemlysningsapparatur og mini C-buer - dog uden brug af dosimeter. </t>
  </si>
  <si>
    <t xml:space="preserve">Den relative afvigelse bør være ≤ 25 % </t>
  </si>
  <si>
    <t xml:space="preserve">Dosimeter. 20 cm PMMA, der dækker hele målefeltet for automatisk dosishastighedsregulering, dog minimum 20 cm x 20 cm. Målebånd. </t>
  </si>
  <si>
    <t>Mini C-buer: 5 cm PMMA, der dækker hele billeddetektoren.</t>
  </si>
  <si>
    <t>Mål/notér SID og afstanden H fra billeddetektorens ydre overflade til dosimeter.</t>
  </si>
  <si>
    <t>Gennemlys med valgt organprogram og notér kVp og mA fra apparatets display, og aflæste værdier af dosishastigheden på dosimeteret.</t>
  </si>
  <si>
    <t>Gentag målingerne for alle relevante organprogrammer.</t>
  </si>
  <si>
    <t>Hvis det ikke er muligt at fjerne lejet eller hvis billeddetektoren ikke kan belastes med 20 cm PMMA, kan der måles med vandret strålegang, hvor PMMA-pladerne placeres lodret på et leje el.lign.</t>
  </si>
  <si>
    <t>Der måles som udgangspunkt med raster.</t>
  </si>
  <si>
    <t>Der måles med brug af automatisk dosishastighedsregulering ved de mest anvendte klinisk relevante organprogrammer (både for gennemlysning og cine-optagelse/eksponering).</t>
  </si>
  <si>
    <t>For hver af disse organprogrammer udføres kun en måling ved standardindstilling af dosisniveau, pulsering og feltstørrelse.</t>
  </si>
  <si>
    <t>ESAKRRP bør være:</t>
  </si>
  <si>
    <t>Gennemlysning: ≤ 30 mGy/min. Mini C-buer: ≤ 5 mGy/min</t>
  </si>
  <si>
    <t>Cine-optagelse/eksponering: Barium-undersøgelser (oesophagus): ≤ 1 mGy/frame. Angio/DSA: ≤ 2 mGy/frame. Hjerte: ≤ 0,2 mGy/frame. Andre: ≤ 2 mGy/frame</t>
  </si>
  <si>
    <t>Dosimeter. 20 cm PMMA, der dækker hele målefeltet for automatisk dosishastighedsregulering, dog minimum 20 cm x 20 cm. Mini C-buer: 5 cm PMMA, der dækker hele billeddetektoren.</t>
  </si>
  <si>
    <t xml:space="preserve">Blygummiforklæder, blyplader el.lign. Målebånd. </t>
  </si>
  <si>
    <t>Hvis muligt, og medmindre der fra leverandøren er angivet en anden opstilling og geometri for dosishastighedsmålinger, udføres kontrollen uden leje i strålegangen og ved minimum SID.</t>
  </si>
  <si>
    <t>For dette organprogram indstilles til:</t>
  </si>
  <si>
    <t xml:space="preserve">      højeste pulsering/kontinuert gennemlysning</t>
  </si>
  <si>
    <t xml:space="preserve">      højeste dosisniveau uden advarselslyd</t>
  </si>
  <si>
    <t xml:space="preserve">      mindste feltstørrelse</t>
  </si>
  <si>
    <t xml:space="preserve">PMMA-plader og beskyttende materiale (f.eks. blygummiforklæder) placeres foran detektoren indtil dosishastigheden er maksimal ved brug af automatisk dosishastighedsregulering, </t>
  </si>
  <si>
    <t>dvs. at dosishastigheden ikke øges hvis yderligere beskyttende materiale tilføjes.</t>
  </si>
  <si>
    <t xml:space="preserve">Placér dosimeteret mellem røntgenrør og PMMA samt beskyttende materiale. </t>
  </si>
  <si>
    <r>
      <rPr>
        <b/>
        <sz val="11"/>
        <color theme="1"/>
        <rFont val="Calibri"/>
        <family val="2"/>
        <scheme val="minor"/>
      </rPr>
      <t>OBS!</t>
    </r>
    <r>
      <rPr>
        <sz val="11"/>
        <color theme="1"/>
        <rFont val="Calibri"/>
        <family val="2"/>
        <scheme val="minor"/>
      </rPr>
      <t xml:space="preserve"> Ved brug af ionkammer skal PMMA-pladerne være øverst/tættest på ionkammeret, mens rækkefølgen af PMMA-plader og beskyttende materiale er ligegyldig ved brug af halvlederdetektor.</t>
    </r>
  </si>
  <si>
    <t xml:space="preserve">      på gennemlysningsapparatet. </t>
  </si>
  <si>
    <t xml:space="preserve">      Notér, under gennemlysning med automatisk dosishastighedsregulering, aflæst værdi af middel dosishastighed på dosimeteret, </t>
  </si>
  <si>
    <t xml:space="preserve">      Der gennemlyses i tilstrækkelig tid til at ændringen i akkumuleret dosis, DI, kan registreres med mindst 2 betydende cifre.</t>
  </si>
  <si>
    <t xml:space="preserve">      Efter endt gennemlysning aflæses værdien akkumuleret dosis DI2, som angivet på gennemlysningsapparatet og målt dosis D for gennemlysningsperioden aflæses på dosimeteret</t>
  </si>
  <si>
    <r>
      <rPr>
        <b/>
        <sz val="11"/>
        <color theme="1"/>
        <rFont val="Calibri"/>
        <family val="2"/>
        <scheme val="minor"/>
      </rPr>
      <t>1.</t>
    </r>
    <r>
      <rPr>
        <sz val="11"/>
        <color theme="1"/>
        <rFont val="Calibri"/>
        <family val="2"/>
        <scheme val="minor"/>
      </rPr>
      <t> Der vælges organprogram med højeste dosishastighed (kun gennemlysning).</t>
    </r>
  </si>
  <si>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 Gentag kontrollen af maksimal dosishastighed for højdosis-/boostindstilling med advarselslyd, hvis en sådan findes. </t>
    </r>
  </si>
  <si>
    <t xml:space="preserve">      Mål/notér afstanden SID fra billeddetektorens ydre overflade til fokus og afstanden H fra billeddetektorens ydre overflade til dosimeter, samt akkumuleret dosis DI1 i som angivet </t>
  </si>
  <si>
    <t xml:space="preserve">Den Relativ afvigelse bør være ≤ 35 % </t>
  </si>
  <si>
    <t xml:space="preserve">Dosishastighed IAKR i RP: Indstilling uden advarselslyd:   IAKRRP ≤ 88 mGy/min. Højdosis-/boostindstilling med advarselslyd: IAKRRP ≤ 176 mGy/min </t>
  </si>
  <si>
    <t>Dosimeter. 2 mm Cu-filter. Mini C-buer: 0,5 mm Cu-filter (benyt 0,3 mm kobberplade, hvis apparatet mA-mættes ved brug af 0,5 mm).</t>
  </si>
  <si>
    <t>Cu-filter placeres foran og tæt på røntgenrøret.</t>
  </si>
  <si>
    <t>Målingen gentages for de samme klinisk relevante organprogrammer som målt i modtagekontrollens 4.2.</t>
  </si>
  <si>
    <t>For ét hyppigt anvendt organprogram måles desuden ved:</t>
  </si>
  <si>
    <t xml:space="preserve">      alle dosisniveauer (f.eks. lav, medium, høj).</t>
  </si>
  <si>
    <t xml:space="preserve">      et udvalg af pulsrater (mindst 3).</t>
  </si>
  <si>
    <t xml:space="preserve">      alle feltstørrelser.</t>
  </si>
  <si>
    <r>
      <rPr>
        <b/>
        <sz val="11"/>
        <color theme="1"/>
        <rFont val="Calibri"/>
        <family val="2"/>
        <scheme val="minor"/>
      </rPr>
      <t>OBS!</t>
    </r>
    <r>
      <rPr>
        <sz val="11"/>
        <color theme="1"/>
        <rFont val="Calibri"/>
        <family val="2"/>
        <scheme val="minor"/>
      </rPr>
      <t xml:space="preserve"> Der måles ikke ved samtlige kombinationsmuligheder. Når en parameter ændres, fastholdes de resterende ved standardindstilling.</t>
    </r>
  </si>
  <si>
    <t>Det kontrolleres evt. i samarbejde med MFE, at undersøgelsen er kommet over i systemerne, herunder at KAP-værdi kommer over med korrekt enhed.</t>
  </si>
  <si>
    <t>Lamb: Diffus lysrefleksion fra omgivelserne</t>
  </si>
  <si>
    <t>L: Lystæthed målt uden Lamb (med near-range luminansmåler)</t>
  </si>
  <si>
    <t>L’: Lystæthed målt med Lamb (med teleskopisk luminansmåler)</t>
  </si>
  <si>
    <t>For hver monitor gøres følgende i de områder af skærmen, hvor røntgenbilledet bliver vist:  Rengør skærmen.</t>
  </si>
  <si>
    <t xml:space="preserve">Indstil monitor til ønsket LUT. </t>
  </si>
  <si>
    <t xml:space="preserve">hvor belysningsstyrke defineres til 100 lux og med kendskab til monitorens refleksionskoefficient (se under beregninger). </t>
  </si>
  <si>
    <t xml:space="preserve">Ved direkte måling af kontrastforholdet med teleskopisk luminansmåler[2] er det derimod nødvendigt først at sikre en belysningsstyrke på </t>
  </si>
  <si>
    <t>maksimalt 100 lux i rummet.</t>
  </si>
  <si>
    <t xml:space="preserve">Ved modtagekontrol: Mål lystætheden centralt samt i hvert hjørne af testbilledet. </t>
  </si>
  <si>
    <t>Kontrollér, om der findes defekte pixler, såsom: lysende, mørke (døde) eller på anden måde ødelagte pixler, samt øvrige fejl.</t>
  </si>
  <si>
    <t>Kun modtagekontrol: Indstillet kalibreret lystæthed: Lmaks ≥ 300 cd/m2 ved ønsket LUT.</t>
  </si>
  <si>
    <r>
      <rPr>
        <i/>
        <sz val="11"/>
        <color theme="1"/>
        <rFont val="Calibri"/>
        <family val="2"/>
        <scheme val="minor"/>
      </rPr>
      <t>Kontrastforhold</t>
    </r>
    <r>
      <rPr>
        <sz val="11"/>
        <color theme="1"/>
        <rFont val="Calibri"/>
        <family val="2"/>
        <scheme val="minor"/>
      </rPr>
      <t>:  L’maks/L’min ≥ 250 (defineret ved E = 100 lux).</t>
    </r>
  </si>
  <si>
    <r>
      <rPr>
        <i/>
        <sz val="11"/>
        <color theme="1"/>
        <rFont val="Calibri"/>
        <family val="2"/>
        <scheme val="minor"/>
      </rPr>
      <t>Homogenitet :</t>
    </r>
    <r>
      <rPr>
        <sz val="11"/>
        <color theme="1"/>
        <rFont val="Calibri"/>
        <family val="2"/>
        <scheme val="minor"/>
      </rPr>
      <t xml:space="preserve"> Modtagekontrol: (Lmålt,højeste – Lmålt,laveste)/Lmålt,laveste ≤ 30 %. Statuskontrol: Ingen synlig inhomogenitet</t>
    </r>
  </si>
  <si>
    <r>
      <rPr>
        <i/>
        <sz val="11"/>
        <color theme="1"/>
        <rFont val="Calibri"/>
        <family val="2"/>
        <scheme val="minor"/>
      </rPr>
      <t>Artefakter:</t>
    </r>
    <r>
      <rPr>
        <sz val="11"/>
        <color theme="1"/>
        <rFont val="Calibri"/>
        <family val="2"/>
        <scheme val="minor"/>
      </rPr>
      <t xml:space="preserve"> Ingen pixelfejl, ridser mv. der har indflydelse på diagnostikken.</t>
    </r>
  </si>
  <si>
    <t>Kobberpladen på 1 mm Cu fastgøres på udgangen af røntgenrøret.</t>
  </si>
  <si>
    <t xml:space="preserve">Hvis man ikke opnår et homogent billede, fordi billedbehandlingen fejler, kan man lægge et lille objekt i periferien af strålefeltet, </t>
  </si>
  <si>
    <t>så der opnås en kontrastforskel i billedet.</t>
  </si>
  <si>
    <r>
      <rPr>
        <b/>
        <sz val="11"/>
        <color theme="1"/>
        <rFont val="Calibri"/>
        <family val="2"/>
        <scheme val="minor"/>
      </rPr>
      <t>NB:</t>
    </r>
    <r>
      <rPr>
        <sz val="11"/>
        <color theme="1"/>
        <rFont val="Calibri"/>
        <family val="2"/>
        <scheme val="minor"/>
      </rPr>
      <t xml:space="preserve"> For billedforstærkere er det normalt og acceptabelt at gråtonen i centrum er en anelse lysere end i periferien, men der må ikke være bratte overgange.</t>
    </r>
  </si>
  <si>
    <t xml:space="preserve">Mini C-buer : Hvis brug af testfantomets specificerede ydre filtrering (typisk 1 mm Cu) medfører mA-mætning, udføres kontrollen i stedet </t>
  </si>
  <si>
    <t>med 0,5 mm Cu (benyt 0,3 mm Cu, hvis apparatet stadig mA-mættes ved brug af 0,5 mm Cu)</t>
  </si>
  <si>
    <t xml:space="preserve">Procedure : </t>
  </si>
  <si>
    <t>Juster, om nødvendigt, på lys- og kontrastindstillinger.</t>
  </si>
  <si>
    <t>NB: Det er vigtigt, at hvid fremstår som hvid og ikke er "overbelyst", så hvid fremstår "glasagtig".</t>
  </si>
  <si>
    <t xml:space="preserve">Samme fremgangsmåde men med fuld feltstørrelse og evt. med brug af 0,5 mm eller 0,3 mm Cu som ydre filtrering (i tilfælde hvor testfantomets </t>
  </si>
  <si>
    <t>specificerede ydre filtrering medfører mA-mætning).</t>
  </si>
  <si>
    <t>Kontrastforskellen i lavkontrastfelterne [0 % - 5 %] og [95 % - 100 %] bør være synlige i mindst ét organprogram.</t>
  </si>
  <si>
    <t xml:space="preserve">Justering foretages i mindst ét organprogram. </t>
  </si>
  <si>
    <t xml:space="preserve">Mini C-buer: Hvis testfantomets specificerede ydre filtrering (typisk 1 mm Cu) medfører mA-mætning, udføres kontrollen i stedet </t>
  </si>
  <si>
    <t>med 0,5 mm Cu (benyt 0,3 mm kobberplade, hvis apparatet stadig mA-mættes ved brug af 0,5 mm).</t>
  </si>
  <si>
    <t xml:space="preserve">Under gennemlysning vurderes hvor mange lavkontrastskiver, der er synlige i billedet. Betragtningsafstanden skal svare til normal brug. </t>
  </si>
  <si>
    <t xml:space="preserve">Notér antallet, af skiver samt kV. og mA. </t>
  </si>
  <si>
    <t>Generelt</t>
  </si>
  <si>
    <t>ved 70 kVp og 1 mm Cu, vil disse værdier ikke kunne bruges, når der anvendes 0,5 mm eller 0,3 mm Cu.</t>
  </si>
  <si>
    <r>
      <rPr>
        <i/>
        <sz val="11"/>
        <color theme="1"/>
        <rFont val="Calibri"/>
        <family val="2"/>
        <scheme val="minor"/>
      </rPr>
      <t>Cine-optagelse/eksponering</t>
    </r>
    <r>
      <rPr>
        <sz val="11"/>
        <color theme="1"/>
        <rFont val="Calibri"/>
        <family val="2"/>
        <scheme val="minor"/>
      </rPr>
      <t>: Lavkontrastfølsomhed bør være ≤ 2,7 %.</t>
    </r>
  </si>
  <si>
    <r>
      <rPr>
        <i/>
        <sz val="11"/>
        <color theme="1"/>
        <rFont val="Calibri"/>
        <family val="2"/>
        <scheme val="minor"/>
      </rPr>
      <t>Mini C-buer:</t>
    </r>
    <r>
      <rPr>
        <sz val="11"/>
        <color theme="1"/>
        <rFont val="Calibri"/>
        <family val="2"/>
        <scheme val="minor"/>
      </rPr>
      <t xml:space="preserve"> Hvis det anvendte fantoms nominelle værdier for lavkontrastfølsomhed er specificeret for gennemlysning </t>
    </r>
  </si>
  <si>
    <t xml:space="preserve"> I stedet kan fastlægges referenceværdier for antal synlige kontrastskiver ved modtagekontrollen.</t>
  </si>
  <si>
    <t xml:space="preserve"> Dog minimum samme antal kontrastskiver som specificeret for lavkontrastfølsomhed på 4,0 %, ved 70 kVp, 1 mm Cu (antal afhænger af fantom).</t>
  </si>
  <si>
    <t>Fantom: Testfantom til kontrol af billedkvalitet. Ydre filtrering: Ingen.</t>
  </si>
  <si>
    <t>Gennemlys med automatik og valgt organprogram indtil skærmbilledet har stabiliseret sig.</t>
  </si>
  <si>
    <t>NB: Med synlige linjepar menes at linjerne er adskilte i hele deres længde inden for gruppen.</t>
  </si>
  <si>
    <t>NB: Hvis en monitorvogn kan anvendes med flere C-buer uanset fabrikat og model, anses kontrollen som udført, hvis den er udført med én C-bue.</t>
  </si>
  <si>
    <t>Placér fantomet direkte på billeddetektoren, så linjerne i linjepar grupperne danner en vinkel på ca. 45° med billeddetektorens pixel-matrix,</t>
  </si>
  <si>
    <t>monitorernes pixel-matrix og evt. raster.</t>
  </si>
  <si>
    <t>Højkontrast opløsningen bør overholde tabellens minimumskrav for lp/mm ( tabel 2 ):</t>
  </si>
  <si>
    <t>sd</t>
  </si>
  <si>
    <t xml:space="preserve">Måleskemaets celler ( på nær de gule ) er låst for at forhindre utilsigtede ændringer </t>
  </si>
  <si>
    <t>Erik Andersen / 19.08.2026</t>
  </si>
  <si>
    <t>Firma måleprocedure</t>
  </si>
  <si>
    <t xml:space="preserve">Hvis fokuspletten ikke er markeret på røret, kan dens placering måles vha. procedure beskrevet i 'EFOMP dynamic x-ray'. </t>
  </si>
  <si>
    <t>Version 1</t>
  </si>
  <si>
    <t>2026.08.19 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</si>
</sst>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vertAlign val="subscript"/>
      <sz val="11"/>
      <color theme="1"/>
      <name val="Calibri"/>
      <family val="2"/>
      <scheme val="minor"/>
    </font>
    <font>
      <b/>
      <vertAlign val="subscript"/>
      <sz val="14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vertAlign val="subscript"/>
      <sz val="11"/>
      <name val="Calibri"/>
      <family val="2"/>
      <scheme val="minor"/>
    </font>
    <font>
      <vertAlign val="subscript"/>
      <sz val="10"/>
      <color theme="1"/>
      <name val="Verdana"/>
      <family val="2"/>
    </font>
    <font>
      <b/>
      <sz val="11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5" fillId="8" borderId="16" applyNumberFormat="0" applyFont="0" applyAlignment="0" applyProtection="0"/>
  </cellStyleXfs>
  <cellXfs count="532">
    <xf numFmtId="0" fontId="0" fillId="0" borderId="0" xfId="0"/>
    <xf numFmtId="0" fontId="1" fillId="4" borderId="0" xfId="0" applyFont="1" applyFill="1" applyProtection="1"/>
    <xf numFmtId="0" fontId="3" fillId="4" borderId="3" xfId="0" applyFont="1" applyFill="1" applyBorder="1" applyProtection="1"/>
    <xf numFmtId="0" fontId="1" fillId="4" borderId="3" xfId="0" applyFont="1" applyFill="1" applyBorder="1" applyProtection="1"/>
    <xf numFmtId="0" fontId="6" fillId="4" borderId="0" xfId="0" applyFont="1" applyFill="1" applyProtection="1"/>
    <xf numFmtId="0" fontId="0" fillId="0" borderId="1" xfId="0" applyFont="1" applyBorder="1" applyAlignment="1" applyProtection="1">
      <alignment horizontal="left" vertical="center"/>
    </xf>
    <xf numFmtId="0" fontId="0" fillId="0" borderId="1" xfId="0" applyBorder="1" applyAlignment="1" applyProtection="1">
      <alignment horizontal="left" vertical="center"/>
    </xf>
    <xf numFmtId="0" fontId="0" fillId="0" borderId="0" xfId="0" applyAlignment="1" applyProtection="1">
      <alignment vertical="center"/>
    </xf>
    <xf numFmtId="0" fontId="0" fillId="6" borderId="10" xfId="0" applyFont="1" applyFill="1" applyBorder="1" applyAlignment="1" applyProtection="1">
      <alignment horizontal="left"/>
    </xf>
    <xf numFmtId="0" fontId="0" fillId="6" borderId="3" xfId="0" applyFont="1" applyFill="1" applyBorder="1" applyAlignment="1" applyProtection="1">
      <alignment horizontal="left"/>
    </xf>
    <xf numFmtId="0" fontId="0" fillId="0" borderId="1" xfId="0" applyFont="1" applyFill="1" applyBorder="1" applyProtection="1"/>
    <xf numFmtId="0" fontId="0" fillId="3" borderId="1" xfId="0" applyFill="1" applyBorder="1" applyProtection="1"/>
    <xf numFmtId="0" fontId="0" fillId="5" borderId="1" xfId="0" applyFill="1" applyBorder="1" applyProtection="1"/>
    <xf numFmtId="0" fontId="0" fillId="0" borderId="1" xfId="0" applyBorder="1" applyProtection="1"/>
    <xf numFmtId="0" fontId="0" fillId="0" borderId="15" xfId="0" applyBorder="1" applyAlignment="1" applyProtection="1">
      <alignment horizontal="left"/>
    </xf>
    <xf numFmtId="0" fontId="7" fillId="0" borderId="15" xfId="1" applyFill="1" applyBorder="1" applyProtection="1"/>
    <xf numFmtId="0" fontId="0" fillId="3" borderId="1" xfId="0" applyFill="1" applyBorder="1" applyAlignment="1" applyProtection="1">
      <alignment horizontal="left" vertical="center"/>
      <protection locked="0"/>
    </xf>
    <xf numFmtId="0" fontId="0" fillId="0" borderId="0" xfId="0" applyFont="1" applyFill="1" applyBorder="1" applyProtection="1"/>
    <xf numFmtId="0" fontId="3" fillId="4" borderId="1" xfId="0" applyFont="1" applyFill="1" applyBorder="1" applyAlignment="1" applyProtection="1">
      <alignment horizontal="center"/>
    </xf>
    <xf numFmtId="0" fontId="0" fillId="4" borderId="15" xfId="0" applyFont="1" applyFill="1" applyBorder="1" applyProtection="1"/>
    <xf numFmtId="0" fontId="0" fillId="4" borderId="15" xfId="0" applyFill="1" applyBorder="1" applyProtection="1"/>
    <xf numFmtId="0" fontId="0" fillId="4" borderId="14" xfId="0" applyFill="1" applyBorder="1" applyProtection="1"/>
    <xf numFmtId="0" fontId="8" fillId="4" borderId="15" xfId="0" applyFont="1" applyFill="1" applyBorder="1" applyProtection="1"/>
    <xf numFmtId="0" fontId="1" fillId="0" borderId="0" xfId="0" applyFont="1" applyFill="1" applyBorder="1" applyProtection="1"/>
    <xf numFmtId="0" fontId="0" fillId="6" borderId="7" xfId="0" applyFont="1" applyFill="1" applyBorder="1" applyAlignment="1" applyProtection="1">
      <alignment horizontal="left" vertical="center"/>
    </xf>
    <xf numFmtId="0" fontId="0" fillId="6" borderId="8" xfId="0" applyFont="1" applyFill="1" applyBorder="1" applyProtection="1"/>
    <xf numFmtId="0" fontId="1" fillId="6" borderId="8" xfId="0" applyFont="1" applyFill="1" applyBorder="1" applyProtection="1"/>
    <xf numFmtId="0" fontId="0" fillId="6" borderId="8" xfId="0" applyFont="1" applyFill="1" applyBorder="1" applyAlignment="1" applyProtection="1">
      <alignment horizontal="left"/>
    </xf>
    <xf numFmtId="0" fontId="0" fillId="6" borderId="9" xfId="0" applyFont="1" applyFill="1" applyBorder="1" applyProtection="1"/>
    <xf numFmtId="0" fontId="0" fillId="6" borderId="2" xfId="0" applyFont="1" applyFill="1" applyBorder="1" applyAlignment="1" applyProtection="1">
      <alignment horizontal="left"/>
    </xf>
    <xf numFmtId="0" fontId="0" fillId="6" borderId="0" xfId="0" applyFont="1" applyFill="1" applyBorder="1" applyProtection="1"/>
    <xf numFmtId="0" fontId="1" fillId="6" borderId="0" xfId="0" applyFont="1" applyFill="1" applyBorder="1" applyProtection="1"/>
    <xf numFmtId="0" fontId="0" fillId="6" borderId="0" xfId="0" applyFont="1" applyFill="1" applyBorder="1" applyAlignment="1" applyProtection="1">
      <alignment horizontal="left"/>
    </xf>
    <xf numFmtId="0" fontId="0" fillId="6" borderId="11" xfId="0" applyFont="1" applyFill="1" applyBorder="1" applyProtection="1"/>
    <xf numFmtId="0" fontId="0" fillId="6" borderId="2" xfId="0" applyFont="1" applyFill="1" applyBorder="1" applyAlignment="1" applyProtection="1">
      <alignment horizontal="left" vertical="center"/>
    </xf>
    <xf numFmtId="0" fontId="0" fillId="6" borderId="3" xfId="0" applyFont="1" applyFill="1" applyBorder="1" applyProtection="1"/>
    <xf numFmtId="0" fontId="0" fillId="6" borderId="12" xfId="0" applyFont="1" applyFill="1" applyBorder="1" applyProtection="1"/>
    <xf numFmtId="0" fontId="5" fillId="5" borderId="0" xfId="0" applyFont="1" applyFill="1" applyProtection="1"/>
    <xf numFmtId="0" fontId="0" fillId="5" borderId="0" xfId="0" applyFill="1" applyProtection="1"/>
    <xf numFmtId="0" fontId="0" fillId="5" borderId="0" xfId="0" applyFill="1" applyBorder="1" applyProtection="1"/>
    <xf numFmtId="0" fontId="5" fillId="5" borderId="0" xfId="0" applyFont="1" applyFill="1" applyBorder="1" applyAlignment="1" applyProtection="1">
      <alignment horizontal="right"/>
    </xf>
    <xf numFmtId="0" fontId="0" fillId="0" borderId="2" xfId="0" applyFont="1" applyFill="1" applyBorder="1" applyAlignment="1" applyProtection="1">
      <alignment vertical="top"/>
    </xf>
    <xf numFmtId="0" fontId="0" fillId="0" borderId="0" xfId="0"/>
    <xf numFmtId="0" fontId="3" fillId="4" borderId="0" xfId="0" applyFont="1" applyFill="1" applyProtection="1"/>
    <xf numFmtId="0" fontId="0" fillId="0" borderId="0" xfId="0" applyFill="1" applyProtection="1"/>
    <xf numFmtId="0" fontId="0" fillId="4" borderId="0" xfId="0" applyFill="1" applyProtection="1"/>
    <xf numFmtId="0" fontId="4" fillId="2" borderId="0" xfId="0" applyFont="1" applyFill="1" applyBorder="1" applyAlignment="1" applyProtection="1">
      <alignment horizontal="left"/>
    </xf>
    <xf numFmtId="0" fontId="0" fillId="2" borderId="0" xfId="0" applyFill="1" applyBorder="1" applyProtection="1"/>
    <xf numFmtId="0" fontId="0" fillId="0" borderId="7" xfId="0" applyFont="1" applyFill="1" applyBorder="1" applyProtection="1"/>
    <xf numFmtId="0" fontId="0" fillId="0" borderId="8" xfId="0" applyFill="1" applyBorder="1" applyProtection="1"/>
    <xf numFmtId="0" fontId="0" fillId="0" borderId="2" xfId="0" applyFont="1" applyFill="1" applyBorder="1" applyProtection="1"/>
    <xf numFmtId="0" fontId="0" fillId="0" borderId="0" xfId="0" applyFill="1" applyBorder="1" applyProtection="1"/>
    <xf numFmtId="0" fontId="0" fillId="0" borderId="10" xfId="0" applyFont="1" applyFill="1" applyBorder="1" applyProtection="1"/>
    <xf numFmtId="0" fontId="4" fillId="2" borderId="3" xfId="0" applyFont="1" applyFill="1" applyBorder="1" applyAlignment="1" applyProtection="1">
      <alignment horizontal="left"/>
    </xf>
    <xf numFmtId="0" fontId="0" fillId="2" borderId="3" xfId="0" applyFill="1" applyBorder="1" applyProtection="1"/>
    <xf numFmtId="0" fontId="0" fillId="2" borderId="4" xfId="0" applyFill="1" applyBorder="1" applyAlignment="1" applyProtection="1">
      <alignment horizontal="center"/>
    </xf>
    <xf numFmtId="0" fontId="0" fillId="2" borderId="5" xfId="0" applyFill="1" applyBorder="1" applyAlignment="1" applyProtection="1">
      <alignment horizontal="center"/>
    </xf>
    <xf numFmtId="0" fontId="0" fillId="2" borderId="6" xfId="0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2" xfId="0" applyBorder="1"/>
    <xf numFmtId="0" fontId="0" fillId="0" borderId="8" xfId="0" applyBorder="1"/>
    <xf numFmtId="0" fontId="0" fillId="0" borderId="0" xfId="0" applyBorder="1"/>
    <xf numFmtId="0" fontId="0" fillId="0" borderId="7" xfId="0" applyBorder="1"/>
    <xf numFmtId="0" fontId="0" fillId="0" borderId="10" xfId="0" applyBorder="1"/>
    <xf numFmtId="0" fontId="0" fillId="6" borderId="12" xfId="0" applyFont="1" applyFill="1" applyBorder="1" applyAlignment="1" applyProtection="1">
      <alignment horizontal="left"/>
    </xf>
    <xf numFmtId="0" fontId="10" fillId="0" borderId="0" xfId="0" applyFont="1" applyFill="1" applyBorder="1" applyProtection="1"/>
    <xf numFmtId="0" fontId="0" fillId="7" borderId="0" xfId="0" applyFill="1" applyProtection="1"/>
    <xf numFmtId="0" fontId="14" fillId="7" borderId="0" xfId="0" applyFont="1" applyFill="1" applyProtection="1"/>
    <xf numFmtId="0" fontId="1" fillId="2" borderId="0" xfId="0" applyFont="1" applyFill="1" applyBorder="1" applyProtection="1"/>
    <xf numFmtId="0" fontId="0" fillId="0" borderId="0" xfId="0" applyFill="1" applyBorder="1" applyAlignment="1" applyProtection="1">
      <alignment vertical="top"/>
    </xf>
    <xf numFmtId="0" fontId="0" fillId="2" borderId="0" xfId="0" applyFill="1"/>
    <xf numFmtId="14" fontId="0" fillId="3" borderId="6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Protection="1"/>
    <xf numFmtId="0" fontId="1" fillId="0" borderId="10" xfId="0" applyFont="1" applyFill="1" applyBorder="1" applyProtection="1"/>
    <xf numFmtId="0" fontId="0" fillId="0" borderId="3" xfId="0" applyFill="1" applyBorder="1" applyAlignment="1" applyProtection="1">
      <alignment vertical="top"/>
    </xf>
    <xf numFmtId="0" fontId="0" fillId="2" borderId="7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3" xfId="0" applyFill="1" applyBorder="1" applyAlignment="1" applyProtection="1">
      <alignment vertical="top" wrapText="1"/>
    </xf>
    <xf numFmtId="0" fontId="0" fillId="0" borderId="2" xfId="0" applyFill="1" applyBorder="1" applyProtection="1"/>
    <xf numFmtId="0" fontId="0" fillId="0" borderId="10" xfId="0" applyFill="1" applyBorder="1" applyProtection="1"/>
    <xf numFmtId="0" fontId="0" fillId="0" borderId="11" xfId="0" applyFill="1" applyBorder="1" applyProtection="1"/>
    <xf numFmtId="0" fontId="0" fillId="0" borderId="12" xfId="0" applyFill="1" applyBorder="1" applyProtection="1"/>
    <xf numFmtId="0" fontId="0" fillId="3" borderId="1" xfId="0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vertical="top" wrapText="1"/>
    </xf>
    <xf numFmtId="0" fontId="0" fillId="9" borderId="0" xfId="0" applyFill="1" applyAlignment="1">
      <alignment horizontal="left"/>
    </xf>
    <xf numFmtId="0" fontId="0" fillId="0" borderId="0" xfId="0" applyAlignment="1">
      <alignment horizontal="left"/>
    </xf>
    <xf numFmtId="2" fontId="0" fillId="9" borderId="0" xfId="0" applyNumberFormat="1" applyFill="1"/>
    <xf numFmtId="0" fontId="0" fillId="2" borderId="2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9" borderId="8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Fill="1" applyBorder="1" applyAlignment="1" applyProtection="1">
      <alignment horizontal="center"/>
    </xf>
    <xf numFmtId="0" fontId="0" fillId="0" borderId="3" xfId="0" applyBorder="1" applyAlignment="1">
      <alignment horizontal="center"/>
    </xf>
    <xf numFmtId="0" fontId="0" fillId="6" borderId="9" xfId="0" applyFont="1" applyFill="1" applyBorder="1" applyAlignment="1" applyProtection="1">
      <alignment horizontal="left"/>
    </xf>
    <xf numFmtId="14" fontId="0" fillId="6" borderId="11" xfId="0" applyNumberFormat="1" applyFont="1" applyFill="1" applyBorder="1" applyAlignment="1" applyProtection="1">
      <alignment horizontal="left"/>
    </xf>
    <xf numFmtId="0" fontId="0" fillId="6" borderId="11" xfId="0" applyFont="1" applyFill="1" applyBorder="1" applyAlignment="1" applyProtection="1">
      <alignment horizontal="left"/>
    </xf>
    <xf numFmtId="164" fontId="0" fillId="3" borderId="4" xfId="0" applyNumberFormat="1" applyFill="1" applyBorder="1" applyAlignment="1" applyProtection="1">
      <alignment horizontal="center"/>
      <protection locked="0"/>
    </xf>
    <xf numFmtId="164" fontId="0" fillId="3" borderId="5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8" borderId="1" xfId="2" applyFont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3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Protection="1"/>
    <xf numFmtId="164" fontId="0" fillId="3" borderId="2" xfId="0" applyNumberFormat="1" applyFill="1" applyBorder="1" applyAlignment="1" applyProtection="1">
      <alignment horizontal="center"/>
      <protection locked="0"/>
    </xf>
    <xf numFmtId="0" fontId="0" fillId="9" borderId="1" xfId="0" applyFill="1" applyBorder="1" applyProtection="1"/>
    <xf numFmtId="0" fontId="0" fillId="0" borderId="1" xfId="0" applyFont="1" applyFill="1" applyBorder="1" applyAlignment="1" applyProtection="1">
      <alignment horizontal="left" vertical="center"/>
      <protection locked="0"/>
    </xf>
    <xf numFmtId="164" fontId="0" fillId="0" borderId="5" xfId="0" applyNumberForma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left"/>
    </xf>
    <xf numFmtId="0" fontId="0" fillId="0" borderId="4" xfId="0" applyFill="1" applyBorder="1" applyAlignment="1" applyProtection="1">
      <alignment horizontal="center"/>
    </xf>
    <xf numFmtId="164" fontId="0" fillId="3" borderId="7" xfId="0" applyNumberFormat="1" applyFill="1" applyBorder="1" applyAlignment="1" applyProtection="1">
      <alignment horizontal="center"/>
      <protection locked="0"/>
    </xf>
    <xf numFmtId="0" fontId="3" fillId="4" borderId="0" xfId="0" applyFont="1" applyFill="1" applyAlignment="1" applyProtection="1">
      <alignment horizontal="left"/>
    </xf>
    <xf numFmtId="164" fontId="0" fillId="0" borderId="3" xfId="0" applyNumberFormat="1" applyFill="1" applyBorder="1" applyAlignment="1" applyProtection="1">
      <alignment horizontal="center"/>
    </xf>
    <xf numFmtId="164" fontId="0" fillId="0" borderId="12" xfId="0" applyNumberFormat="1" applyFill="1" applyBorder="1" applyAlignment="1" applyProtection="1">
      <alignment horizontal="center"/>
    </xf>
    <xf numFmtId="164" fontId="0" fillId="0" borderId="6" xfId="0" applyNumberFormat="1" applyFill="1" applyBorder="1" applyAlignment="1" applyProtection="1">
      <alignment horizontal="center"/>
    </xf>
    <xf numFmtId="0" fontId="9" fillId="5" borderId="0" xfId="0" applyFont="1" applyFill="1" applyProtection="1"/>
    <xf numFmtId="0" fontId="11" fillId="0" borderId="1" xfId="0" applyFont="1" applyBorder="1" applyAlignment="1" applyProtection="1">
      <alignment horizontal="left" vertical="center"/>
    </xf>
    <xf numFmtId="0" fontId="14" fillId="4" borderId="0" xfId="0" applyFont="1" applyFill="1" applyAlignment="1" applyProtection="1">
      <alignment horizontal="left"/>
    </xf>
    <xf numFmtId="164" fontId="0" fillId="0" borderId="0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4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9" fillId="0" borderId="0" xfId="0" applyFont="1" applyFill="1" applyBorder="1" applyProtection="1"/>
    <xf numFmtId="0" fontId="0" fillId="5" borderId="0" xfId="0" applyFill="1"/>
    <xf numFmtId="0" fontId="0" fillId="9" borderId="0" xfId="0" applyFill="1"/>
    <xf numFmtId="0" fontId="0" fillId="5" borderId="0" xfId="0" applyFill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2" xfId="0" applyFill="1" applyBorder="1"/>
    <xf numFmtId="0" fontId="0" fillId="5" borderId="11" xfId="0" applyFill="1" applyBorder="1"/>
    <xf numFmtId="0" fontId="0" fillId="5" borderId="10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9" borderId="7" xfId="0" applyFill="1" applyBorder="1" applyAlignment="1">
      <alignment horizontal="center"/>
    </xf>
    <xf numFmtId="0" fontId="0" fillId="9" borderId="9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9" borderId="11" xfId="0" applyFill="1" applyBorder="1" applyAlignment="1">
      <alignment horizontal="center"/>
    </xf>
    <xf numFmtId="0" fontId="0" fillId="9" borderId="10" xfId="0" applyFill="1" applyBorder="1" applyAlignment="1">
      <alignment horizontal="center"/>
    </xf>
    <xf numFmtId="0" fontId="0" fillId="9" borderId="12" xfId="0" applyFill="1" applyBorder="1" applyAlignment="1">
      <alignment horizontal="center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11" borderId="0" xfId="0" applyFill="1" applyBorder="1" applyAlignment="1">
      <alignment horizontal="center"/>
    </xf>
    <xf numFmtId="0" fontId="0" fillId="11" borderId="0" xfId="0" applyFill="1" applyAlignment="1">
      <alignment horizontal="center"/>
    </xf>
    <xf numFmtId="0" fontId="0" fillId="11" borderId="7" xfId="0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0" fillId="11" borderId="11" xfId="0" applyFill="1" applyBorder="1" applyAlignment="1">
      <alignment horizontal="center"/>
    </xf>
    <xf numFmtId="0" fontId="2" fillId="11" borderId="0" xfId="0" applyFont="1" applyFill="1" applyAlignment="1">
      <alignment horizontal="center"/>
    </xf>
    <xf numFmtId="0" fontId="11" fillId="2" borderId="5" xfId="0" applyFont="1" applyFill="1" applyBorder="1" applyAlignment="1" applyProtection="1">
      <alignment horizontal="center"/>
    </xf>
    <xf numFmtId="0" fontId="2" fillId="2" borderId="6" xfId="0" applyFont="1" applyFill="1" applyBorder="1" applyAlignment="1" applyProtection="1">
      <alignment horizontal="center"/>
    </xf>
    <xf numFmtId="2" fontId="0" fillId="0" borderId="1" xfId="0" applyNumberFormat="1" applyFill="1" applyBorder="1" applyAlignment="1" applyProtection="1">
      <alignment horizontal="center"/>
    </xf>
    <xf numFmtId="164" fontId="0" fillId="0" borderId="1" xfId="0" applyNumberFormat="1" applyFill="1" applyBorder="1" applyAlignment="1" applyProtection="1">
      <alignment horizontal="center"/>
    </xf>
    <xf numFmtId="0" fontId="0" fillId="0" borderId="3" xfId="0" applyBorder="1" applyProtection="1"/>
    <xf numFmtId="0" fontId="0" fillId="0" borderId="3" xfId="0" applyFill="1" applyBorder="1" applyAlignment="1" applyProtection="1">
      <alignment horizontal="center"/>
    </xf>
    <xf numFmtId="0" fontId="0" fillId="0" borderId="0" xfId="0" applyProtection="1"/>
    <xf numFmtId="0" fontId="11" fillId="2" borderId="0" xfId="0" applyFont="1" applyFill="1" applyBorder="1" applyProtection="1"/>
    <xf numFmtId="0" fontId="0" fillId="2" borderId="5" xfId="0" applyFill="1" applyBorder="1" applyProtection="1"/>
    <xf numFmtId="0" fontId="0" fillId="2" borderId="4" xfId="0" applyFill="1" applyBorder="1" applyProtection="1"/>
    <xf numFmtId="0" fontId="0" fillId="2" borderId="7" xfId="0" applyFill="1" applyBorder="1" applyAlignment="1" applyProtection="1">
      <alignment horizontal="center"/>
    </xf>
    <xf numFmtId="0" fontId="0" fillId="2" borderId="2" xfId="0" applyFill="1" applyBorder="1" applyProtection="1"/>
    <xf numFmtId="0" fontId="0" fillId="2" borderId="11" xfId="0" applyFill="1" applyBorder="1" applyProtection="1"/>
    <xf numFmtId="0" fontId="0" fillId="2" borderId="10" xfId="0" applyFill="1" applyBorder="1" applyProtection="1"/>
    <xf numFmtId="0" fontId="0" fillId="2" borderId="12" xfId="0" applyFill="1" applyBorder="1" applyProtection="1"/>
    <xf numFmtId="165" fontId="0" fillId="0" borderId="1" xfId="0" applyNumberFormat="1" applyFill="1" applyBorder="1" applyAlignment="1" applyProtection="1">
      <alignment horizontal="center"/>
    </xf>
    <xf numFmtId="0" fontId="2" fillId="0" borderId="6" xfId="0" applyFont="1" applyFill="1" applyBorder="1" applyAlignment="1" applyProtection="1">
      <alignment horizontal="center"/>
    </xf>
    <xf numFmtId="0" fontId="0" fillId="2" borderId="7" xfId="0" applyFill="1" applyBorder="1" applyProtection="1"/>
    <xf numFmtId="0" fontId="0" fillId="2" borderId="8" xfId="0" applyFill="1" applyBorder="1" applyProtection="1"/>
    <xf numFmtId="0" fontId="0" fillId="2" borderId="9" xfId="0" applyFill="1" applyBorder="1" applyProtection="1"/>
    <xf numFmtId="2" fontId="0" fillId="2" borderId="4" xfId="0" applyNumberFormat="1" applyFill="1" applyBorder="1" applyAlignment="1" applyProtection="1">
      <alignment horizontal="center"/>
    </xf>
    <xf numFmtId="165" fontId="0" fillId="2" borderId="4" xfId="0" applyNumberFormat="1" applyFill="1" applyBorder="1" applyAlignment="1" applyProtection="1">
      <alignment horizontal="center"/>
    </xf>
    <xf numFmtId="0" fontId="2" fillId="2" borderId="4" xfId="0" applyFont="1" applyFill="1" applyBorder="1" applyAlignment="1" applyProtection="1">
      <alignment horizontal="center"/>
    </xf>
    <xf numFmtId="0" fontId="11" fillId="2" borderId="6" xfId="0" applyFont="1" applyFill="1" applyBorder="1" applyAlignment="1" applyProtection="1">
      <alignment horizontal="center"/>
    </xf>
    <xf numFmtId="164" fontId="0" fillId="0" borderId="1" xfId="0" applyNumberFormat="1" applyBorder="1" applyAlignment="1" applyProtection="1">
      <alignment horizontal="center"/>
    </xf>
    <xf numFmtId="0" fontId="1" fillId="0" borderId="13" xfId="0" applyFont="1" applyBorder="1" applyProtection="1"/>
    <xf numFmtId="0" fontId="0" fillId="2" borderId="2" xfId="0" applyFill="1" applyBorder="1" applyAlignment="1" applyProtection="1">
      <alignment horizontal="center"/>
    </xf>
    <xf numFmtId="0" fontId="0" fillId="2" borderId="10" xfId="0" applyFill="1" applyBorder="1" applyAlignment="1" applyProtection="1">
      <alignment horizontal="center"/>
    </xf>
    <xf numFmtId="0" fontId="1" fillId="0" borderId="0" xfId="0" applyFont="1" applyProtection="1"/>
    <xf numFmtId="0" fontId="0" fillId="0" borderId="5" xfId="0" applyBorder="1" applyProtection="1"/>
    <xf numFmtId="0" fontId="2" fillId="2" borderId="5" xfId="0" applyFont="1" applyFill="1" applyBorder="1" applyAlignment="1" applyProtection="1">
      <alignment horizontal="center"/>
    </xf>
    <xf numFmtId="0" fontId="0" fillId="0" borderId="4" xfId="0" applyBorder="1" applyProtection="1"/>
    <xf numFmtId="14" fontId="0" fillId="2" borderId="5" xfId="0" applyNumberFormat="1" applyFill="1" applyBorder="1" applyAlignment="1" applyProtection="1">
      <alignment horizontal="center"/>
    </xf>
    <xf numFmtId="0" fontId="0" fillId="0" borderId="6" xfId="0" applyBorder="1" applyProtection="1"/>
    <xf numFmtId="0" fontId="0" fillId="3" borderId="2" xfId="0" applyFill="1" applyBorder="1" applyAlignment="1" applyProtection="1">
      <alignment horizontal="center"/>
      <protection locked="0"/>
    </xf>
    <xf numFmtId="0" fontId="0" fillId="3" borderId="0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3" fillId="0" borderId="0" xfId="0" applyFont="1"/>
    <xf numFmtId="0" fontId="0" fillId="5" borderId="7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2" xfId="0" applyFill="1" applyBorder="1"/>
    <xf numFmtId="0" fontId="0" fillId="5" borderId="4" xfId="0" applyFill="1" applyBorder="1"/>
    <xf numFmtId="0" fontId="0" fillId="5" borderId="5" xfId="0" applyFill="1" applyBorder="1"/>
    <xf numFmtId="0" fontId="0" fillId="5" borderId="6" xfId="0" applyFill="1" applyBorder="1"/>
    <xf numFmtId="0" fontId="1" fillId="10" borderId="0" xfId="0" applyFont="1" applyFill="1"/>
    <xf numFmtId="0" fontId="1" fillId="10" borderId="0" xfId="0" applyFont="1" applyFill="1" applyBorder="1"/>
    <xf numFmtId="0" fontId="0" fillId="6" borderId="0" xfId="0" applyFill="1" applyBorder="1" applyProtection="1"/>
    <xf numFmtId="0" fontId="9" fillId="0" borderId="0" xfId="0" applyFont="1" applyProtection="1"/>
    <xf numFmtId="0" fontId="9" fillId="0" borderId="0" xfId="0" applyFont="1" applyFill="1" applyProtection="1"/>
    <xf numFmtId="0" fontId="0" fillId="0" borderId="0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9" fillId="0" borderId="0" xfId="0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164" fontId="0" fillId="0" borderId="4" xfId="0" applyNumberFormat="1" applyFill="1" applyBorder="1" applyAlignment="1" applyProtection="1">
      <alignment horizontal="center"/>
    </xf>
    <xf numFmtId="0" fontId="0" fillId="0" borderId="5" xfId="0" applyFill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Fill="1" applyBorder="1" applyAlignment="1" applyProtection="1">
      <alignment horizontal="center"/>
    </xf>
    <xf numFmtId="0" fontId="0" fillId="0" borderId="8" xfId="0" applyFill="1" applyBorder="1" applyAlignment="1" applyProtection="1">
      <alignment horizontal="left"/>
    </xf>
    <xf numFmtId="0" fontId="0" fillId="0" borderId="0" xfId="0" applyFill="1" applyBorder="1" applyAlignment="1" applyProtection="1">
      <alignment horizontal="left"/>
    </xf>
    <xf numFmtId="0" fontId="0" fillId="0" borderId="11" xfId="0" applyBorder="1" applyProtection="1"/>
    <xf numFmtId="0" fontId="0" fillId="0" borderId="3" xfId="0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left"/>
    </xf>
    <xf numFmtId="0" fontId="0" fillId="0" borderId="7" xfId="0" applyFill="1" applyBorder="1" applyProtection="1"/>
    <xf numFmtId="0" fontId="0" fillId="0" borderId="2" xfId="0" applyFill="1" applyBorder="1" applyAlignment="1" applyProtection="1">
      <alignment horizontal="left"/>
    </xf>
    <xf numFmtId="0" fontId="0" fillId="0" borderId="10" xfId="0" applyFill="1" applyBorder="1" applyAlignment="1" applyProtection="1">
      <alignment horizontal="left"/>
    </xf>
    <xf numFmtId="0" fontId="0" fillId="0" borderId="12" xfId="0" applyBorder="1" applyProtection="1"/>
    <xf numFmtId="0" fontId="0" fillId="2" borderId="6" xfId="0" applyFill="1" applyBorder="1" applyProtection="1"/>
    <xf numFmtId="0" fontId="0" fillId="2" borderId="8" xfId="0" applyFill="1" applyBorder="1" applyAlignment="1" applyProtection="1">
      <alignment horizontal="center"/>
    </xf>
    <xf numFmtId="0" fontId="0" fillId="2" borderId="3" xfId="0" applyFill="1" applyBorder="1" applyAlignment="1" applyProtection="1">
      <alignment horizontal="center"/>
    </xf>
    <xf numFmtId="0" fontId="0" fillId="0" borderId="7" xfId="0" applyFill="1" applyBorder="1" applyAlignment="1" applyProtection="1">
      <alignment horizontal="left"/>
    </xf>
    <xf numFmtId="0" fontId="0" fillId="0" borderId="8" xfId="0" applyFill="1" applyBorder="1" applyAlignment="1" applyProtection="1">
      <alignment horizontal="center"/>
    </xf>
    <xf numFmtId="0" fontId="0" fillId="0" borderId="2" xfId="0" applyBorder="1" applyProtection="1"/>
    <xf numFmtId="0" fontId="0" fillId="0" borderId="12" xfId="0" applyFill="1" applyBorder="1" applyAlignment="1" applyProtection="1">
      <alignment horizontal="center"/>
    </xf>
    <xf numFmtId="0" fontId="0" fillId="0" borderId="7" xfId="0" applyBorder="1" applyProtection="1"/>
    <xf numFmtId="0" fontId="9" fillId="0" borderId="0" xfId="0" applyFont="1" applyBorder="1" applyProtection="1"/>
    <xf numFmtId="0" fontId="0" fillId="0" borderId="10" xfId="0" applyBorder="1" applyProtection="1"/>
    <xf numFmtId="0" fontId="11" fillId="0" borderId="2" xfId="0" applyFont="1" applyBorder="1" applyProtection="1"/>
    <xf numFmtId="0" fontId="11" fillId="0" borderId="0" xfId="0" applyFont="1" applyFill="1" applyBorder="1" applyProtection="1"/>
    <xf numFmtId="0" fontId="9" fillId="0" borderId="2" xfId="0" applyFont="1" applyFill="1" applyBorder="1" applyProtection="1"/>
    <xf numFmtId="0" fontId="11" fillId="0" borderId="0" xfId="0" applyFont="1" applyBorder="1" applyProtection="1"/>
    <xf numFmtId="0" fontId="9" fillId="0" borderId="3" xfId="0" applyFont="1" applyFill="1" applyBorder="1" applyProtection="1"/>
    <xf numFmtId="0" fontId="1" fillId="0" borderId="13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0" fillId="2" borderId="9" xfId="0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0" fillId="2" borderId="0" xfId="0" applyFill="1" applyBorder="1" applyAlignment="1" applyProtection="1">
      <alignment horizontal="center"/>
    </xf>
    <xf numFmtId="0" fontId="0" fillId="2" borderId="11" xfId="0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center"/>
    </xf>
    <xf numFmtId="0" fontId="0" fillId="0" borderId="1" xfId="0" applyNumberFormat="1" applyFill="1" applyBorder="1" applyAlignment="1" applyProtection="1">
      <alignment horizontal="center"/>
    </xf>
    <xf numFmtId="164" fontId="0" fillId="0" borderId="0" xfId="0" applyNumberForma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11" fillId="0" borderId="7" xfId="0" applyFont="1" applyFill="1" applyBorder="1" applyProtection="1"/>
    <xf numFmtId="0" fontId="11" fillId="0" borderId="2" xfId="0" applyFont="1" applyFill="1" applyBorder="1" applyProtection="1"/>
    <xf numFmtId="0" fontId="16" fillId="0" borderId="10" xfId="0" applyFont="1" applyFill="1" applyBorder="1" applyProtection="1"/>
    <xf numFmtId="0" fontId="11" fillId="2" borderId="8" xfId="0" applyFont="1" applyFill="1" applyBorder="1" applyProtection="1"/>
    <xf numFmtId="0" fontId="1" fillId="2" borderId="0" xfId="0" applyFont="1" applyFill="1" applyProtection="1"/>
    <xf numFmtId="0" fontId="0" fillId="2" borderId="0" xfId="0" applyFill="1" applyProtection="1"/>
    <xf numFmtId="0" fontId="0" fillId="0" borderId="9" xfId="0" applyFill="1" applyBorder="1" applyProtection="1"/>
    <xf numFmtId="0" fontId="11" fillId="0" borderId="10" xfId="0" applyFont="1" applyFill="1" applyBorder="1" applyProtection="1"/>
    <xf numFmtId="0" fontId="11" fillId="0" borderId="3" xfId="0" applyFont="1" applyFill="1" applyBorder="1" applyProtection="1"/>
    <xf numFmtId="0" fontId="0" fillId="0" borderId="2" xfId="0" applyFill="1" applyBorder="1" applyAlignment="1" applyProtection="1">
      <alignment horizontal="center"/>
    </xf>
    <xf numFmtId="0" fontId="2" fillId="2" borderId="10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164" fontId="11" fillId="0" borderId="1" xfId="0" applyNumberFormat="1" applyFont="1" applyFill="1" applyBorder="1" applyAlignment="1" applyProtection="1">
      <alignment horizontal="center"/>
    </xf>
    <xf numFmtId="0" fontId="0" fillId="0" borderId="13" xfId="0" applyBorder="1" applyAlignment="1" applyProtection="1">
      <alignment horizontal="center"/>
    </xf>
    <xf numFmtId="0" fontId="11" fillId="2" borderId="4" xfId="0" applyFont="1" applyFill="1" applyBorder="1" applyAlignment="1" applyProtection="1">
      <alignment horizontal="center"/>
    </xf>
    <xf numFmtId="0" fontId="17" fillId="2" borderId="6" xfId="0" applyFont="1" applyFill="1" applyBorder="1" applyAlignment="1" applyProtection="1">
      <alignment horizontal="center"/>
    </xf>
    <xf numFmtId="0" fontId="0" fillId="2" borderId="12" xfId="0" applyFill="1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164" fontId="0" fillId="0" borderId="8" xfId="0" applyNumberFormat="1" applyFill="1" applyBorder="1" applyAlignment="1" applyProtection="1">
      <alignment horizontal="center"/>
    </xf>
    <xf numFmtId="0" fontId="0" fillId="2" borderId="1" xfId="0" applyFill="1" applyBorder="1" applyAlignment="1" applyProtection="1">
      <alignment horizontal="center"/>
    </xf>
    <xf numFmtId="0" fontId="0" fillId="2" borderId="13" xfId="0" applyFill="1" applyBorder="1" applyProtection="1"/>
    <xf numFmtId="0" fontId="0" fillId="2" borderId="15" xfId="0" applyFill="1" applyBorder="1" applyProtection="1"/>
    <xf numFmtId="164" fontId="0" fillId="0" borderId="14" xfId="0" applyNumberFormat="1" applyFill="1" applyBorder="1" applyAlignment="1" applyProtection="1">
      <alignment horizontal="center"/>
    </xf>
    <xf numFmtId="1" fontId="0" fillId="0" borderId="1" xfId="0" applyNumberFormat="1" applyFill="1" applyBorder="1" applyAlignment="1" applyProtection="1">
      <alignment horizontal="center"/>
    </xf>
    <xf numFmtId="14" fontId="0" fillId="0" borderId="6" xfId="0" applyNumberFormat="1" applyFill="1" applyBorder="1" applyAlignment="1" applyProtection="1">
      <alignment horizontal="center"/>
    </xf>
    <xf numFmtId="0" fontId="11" fillId="0" borderId="8" xfId="0" applyFont="1" applyFill="1" applyBorder="1" applyProtection="1"/>
    <xf numFmtId="0" fontId="13" fillId="10" borderId="13" xfId="0" applyFont="1" applyFill="1" applyBorder="1" applyAlignment="1" applyProtection="1">
      <alignment vertical="center"/>
    </xf>
    <xf numFmtId="0" fontId="0" fillId="10" borderId="15" xfId="0" applyFill="1" applyBorder="1" applyProtection="1"/>
    <xf numFmtId="0" fontId="0" fillId="10" borderId="14" xfId="0" applyFill="1" applyBorder="1" applyProtection="1"/>
    <xf numFmtId="0" fontId="1" fillId="2" borderId="1" xfId="0" applyFont="1" applyFill="1" applyBorder="1" applyAlignment="1" applyProtection="1">
      <alignment horizontal="center"/>
    </xf>
    <xf numFmtId="0" fontId="11" fillId="3" borderId="5" xfId="0" applyFont="1" applyFill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right"/>
    </xf>
    <xf numFmtId="0" fontId="0" fillId="3" borderId="5" xfId="0" applyNumberFormat="1" applyFill="1" applyBorder="1" applyAlignment="1" applyProtection="1">
      <alignment horizontal="center"/>
      <protection locked="0"/>
    </xf>
    <xf numFmtId="0" fontId="1" fillId="0" borderId="13" xfId="0" applyFont="1" applyFill="1" applyBorder="1" applyProtection="1"/>
    <xf numFmtId="0" fontId="1" fillId="0" borderId="15" xfId="0" applyFont="1" applyFill="1" applyBorder="1" applyProtection="1"/>
    <xf numFmtId="0" fontId="3" fillId="4" borderId="15" xfId="0" applyFont="1" applyFill="1" applyBorder="1" applyProtection="1"/>
    <xf numFmtId="0" fontId="0" fillId="0" borderId="13" xfId="0" applyFont="1" applyFill="1" applyBorder="1" applyProtection="1"/>
    <xf numFmtId="0" fontId="0" fillId="0" borderId="15" xfId="0" applyFont="1" applyFill="1" applyBorder="1" applyProtection="1"/>
    <xf numFmtId="0" fontId="0" fillId="0" borderId="13" xfId="0" applyBorder="1" applyProtection="1"/>
    <xf numFmtId="0" fontId="0" fillId="0" borderId="15" xfId="0" applyBorder="1" applyProtection="1"/>
    <xf numFmtId="0" fontId="16" fillId="0" borderId="0" xfId="0" applyFont="1" applyFill="1" applyBorder="1" applyProtection="1"/>
    <xf numFmtId="0" fontId="1" fillId="0" borderId="2" xfId="0" applyFont="1" applyBorder="1" applyProtection="1"/>
    <xf numFmtId="0" fontId="1" fillId="0" borderId="0" xfId="0" applyFont="1" applyBorder="1" applyProtection="1"/>
    <xf numFmtId="0" fontId="0" fillId="0" borderId="15" xfId="0" applyFill="1" applyBorder="1" applyProtection="1"/>
    <xf numFmtId="0" fontId="0" fillId="0" borderId="14" xfId="0" applyFill="1" applyBorder="1" applyProtection="1"/>
    <xf numFmtId="0" fontId="0" fillId="0" borderId="15" xfId="0" applyBorder="1" applyProtection="1"/>
    <xf numFmtId="0" fontId="0" fillId="0" borderId="14" xfId="0" applyBorder="1" applyProtection="1"/>
    <xf numFmtId="0" fontId="0" fillId="0" borderId="15" xfId="0" applyFont="1" applyBorder="1" applyProtection="1"/>
    <xf numFmtId="0" fontId="0" fillId="0" borderId="14" xfId="0" applyFont="1" applyBorder="1" applyProtection="1"/>
    <xf numFmtId="0" fontId="0" fillId="0" borderId="15" xfId="0" applyFont="1" applyFill="1" applyBorder="1" applyProtection="1"/>
    <xf numFmtId="0" fontId="0" fillId="0" borderId="14" xfId="0" applyFont="1" applyFill="1" applyBorder="1" applyProtection="1"/>
    <xf numFmtId="0" fontId="0" fillId="0" borderId="15" xfId="0" applyFont="1" applyFill="1" applyBorder="1" applyAlignment="1" applyProtection="1"/>
    <xf numFmtId="0" fontId="0" fillId="0" borderId="14" xfId="0" applyFont="1" applyFill="1" applyBorder="1" applyAlignment="1" applyProtection="1"/>
    <xf numFmtId="0" fontId="1" fillId="0" borderId="15" xfId="0" applyFont="1" applyFill="1" applyBorder="1" applyProtection="1"/>
    <xf numFmtId="0" fontId="1" fillId="0" borderId="14" xfId="0" applyFont="1" applyFill="1" applyBorder="1" applyProtection="1"/>
    <xf numFmtId="0" fontId="1" fillId="0" borderId="7" xfId="0" applyFont="1" applyBorder="1" applyProtection="1"/>
    <xf numFmtId="0" fontId="1" fillId="0" borderId="8" xfId="0" applyFont="1" applyBorder="1" applyProtection="1"/>
    <xf numFmtId="0" fontId="1" fillId="0" borderId="9" xfId="0" applyFont="1" applyBorder="1" applyProtection="1"/>
    <xf numFmtId="0" fontId="1" fillId="0" borderId="11" xfId="0" applyFont="1" applyBorder="1" applyProtection="1"/>
    <xf numFmtId="0" fontId="1" fillId="0" borderId="2" xfId="0" applyFont="1" applyFill="1" applyBorder="1" applyProtection="1"/>
    <xf numFmtId="0" fontId="0" fillId="0" borderId="15" xfId="0" applyFill="1" applyBorder="1" applyProtection="1"/>
    <xf numFmtId="0" fontId="0" fillId="0" borderId="15" xfId="0" applyBorder="1" applyProtection="1"/>
    <xf numFmtId="0" fontId="0" fillId="0" borderId="14" xfId="0" applyBorder="1" applyProtection="1"/>
    <xf numFmtId="0" fontId="0" fillId="6" borderId="8" xfId="0" applyFont="1" applyFill="1" applyBorder="1" applyProtection="1"/>
    <xf numFmtId="0" fontId="0" fillId="6" borderId="0" xfId="0" applyFont="1" applyFill="1" applyBorder="1" applyProtection="1"/>
    <xf numFmtId="0" fontId="0" fillId="0" borderId="0" xfId="0" applyFill="1" applyBorder="1"/>
    <xf numFmtId="0" fontId="0" fillId="12" borderId="1" xfId="0" applyFill="1" applyBorder="1" applyProtection="1"/>
    <xf numFmtId="0" fontId="16" fillId="0" borderId="2" xfId="0" applyFont="1" applyFill="1" applyBorder="1" applyProtection="1"/>
    <xf numFmtId="0" fontId="16" fillId="0" borderId="3" xfId="0" applyFont="1" applyFill="1" applyBorder="1" applyProtection="1"/>
    <xf numFmtId="0" fontId="0" fillId="0" borderId="1" xfId="0" applyNumberFormat="1" applyBorder="1" applyAlignment="1" applyProtection="1">
      <alignment horizontal="center"/>
    </xf>
    <xf numFmtId="0" fontId="0" fillId="0" borderId="5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3" borderId="1" xfId="0" applyFont="1" applyFill="1" applyBorder="1" applyAlignment="1" applyProtection="1">
      <alignment horizontal="center"/>
      <protection locked="0"/>
    </xf>
    <xf numFmtId="0" fontId="3" fillId="7" borderId="0" xfId="0" applyFont="1" applyFill="1" applyAlignment="1" applyProtection="1">
      <alignment horizontal="left"/>
    </xf>
    <xf numFmtId="0" fontId="0" fillId="9" borderId="9" xfId="0" applyFill="1" applyBorder="1"/>
    <xf numFmtId="164" fontId="0" fillId="0" borderId="11" xfId="0" applyNumberFormat="1" applyBorder="1" applyAlignment="1">
      <alignment horizontal="center"/>
    </xf>
    <xf numFmtId="0" fontId="9" fillId="0" borderId="2" xfId="0" applyFont="1" applyBorder="1" applyProtection="1"/>
    <xf numFmtId="0" fontId="9" fillId="0" borderId="8" xfId="0" applyFont="1" applyBorder="1" applyProtection="1"/>
    <xf numFmtId="0" fontId="0" fillId="11" borderId="10" xfId="0" applyFill="1" applyBorder="1"/>
    <xf numFmtId="0" fontId="0" fillId="11" borderId="12" xfId="0" applyFill="1" applyBorder="1"/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0" borderId="13" xfId="0" applyBorder="1" applyProtection="1"/>
    <xf numFmtId="0" fontId="1" fillId="13" borderId="5" xfId="0" applyFont="1" applyFill="1" applyBorder="1" applyAlignment="1" applyProtection="1">
      <alignment horizontal="center"/>
    </xf>
    <xf numFmtId="0" fontId="0" fillId="6" borderId="8" xfId="0" applyFont="1" applyFill="1" applyBorder="1" applyAlignment="1" applyProtection="1">
      <alignment horizontal="left"/>
    </xf>
    <xf numFmtId="0" fontId="0" fillId="6" borderId="0" xfId="0" applyFont="1" applyFill="1" applyBorder="1" applyAlignment="1" applyProtection="1">
      <alignment horizontal="left"/>
    </xf>
    <xf numFmtId="0" fontId="1" fillId="4" borderId="13" xfId="0" applyFont="1" applyFill="1" applyBorder="1" applyProtection="1"/>
    <xf numFmtId="0" fontId="1" fillId="4" borderId="15" xfId="0" applyFont="1" applyFill="1" applyBorder="1" applyProtection="1"/>
    <xf numFmtId="0" fontId="1" fillId="4" borderId="14" xfId="0" applyFont="1" applyFill="1" applyBorder="1" applyProtection="1"/>
    <xf numFmtId="0" fontId="1" fillId="0" borderId="15" xfId="0" applyFont="1" applyFill="1" applyBorder="1" applyProtection="1"/>
    <xf numFmtId="0" fontId="0" fillId="0" borderId="15" xfId="0" applyFill="1" applyBorder="1" applyProtection="1"/>
    <xf numFmtId="0" fontId="0" fillId="0" borderId="15" xfId="0" applyBorder="1" applyProtection="1"/>
    <xf numFmtId="0" fontId="0" fillId="3" borderId="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6" borderId="8" xfId="0" applyFont="1" applyFill="1" applyBorder="1" applyProtection="1"/>
    <xf numFmtId="0" fontId="0" fillId="6" borderId="0" xfId="0" applyFont="1" applyFill="1" applyBorder="1" applyProtection="1"/>
    <xf numFmtId="49" fontId="0" fillId="6" borderId="0" xfId="0" applyNumberFormat="1" applyFont="1" applyFill="1" applyBorder="1" applyAlignment="1" applyProtection="1">
      <alignment horizontal="left"/>
    </xf>
    <xf numFmtId="0" fontId="0" fillId="6" borderId="3" xfId="0" applyFont="1" applyFill="1" applyBorder="1" applyAlignment="1" applyProtection="1">
      <alignment horizontal="left"/>
    </xf>
    <xf numFmtId="14" fontId="0" fillId="6" borderId="0" xfId="0" applyNumberFormat="1" applyFont="1" applyFill="1" applyBorder="1" applyAlignment="1" applyProtection="1">
      <alignment horizontal="left"/>
    </xf>
    <xf numFmtId="49" fontId="0" fillId="6" borderId="0" xfId="0" applyNumberFormat="1" applyFont="1" applyFill="1" applyBorder="1" applyProtection="1"/>
    <xf numFmtId="49" fontId="0" fillId="6" borderId="3" xfId="0" applyNumberFormat="1" applyFont="1" applyFill="1" applyBorder="1" applyProtection="1"/>
    <xf numFmtId="0" fontId="1" fillId="6" borderId="3" xfId="0" applyFont="1" applyFill="1" applyBorder="1" applyAlignment="1" applyProtection="1">
      <alignment horizontal="left"/>
    </xf>
    <xf numFmtId="0" fontId="23" fillId="0" borderId="0" xfId="0" applyFont="1" applyFill="1" applyBorder="1" applyProtection="1"/>
    <xf numFmtId="0" fontId="23" fillId="0" borderId="0" xfId="0" applyFont="1" applyProtection="1"/>
    <xf numFmtId="0" fontId="23" fillId="0" borderId="0" xfId="0" applyFont="1" applyBorder="1" applyProtection="1"/>
    <xf numFmtId="0" fontId="1" fillId="0" borderId="1" xfId="0" applyFont="1" applyFill="1" applyBorder="1" applyAlignment="1" applyProtection="1"/>
    <xf numFmtId="0" fontId="23" fillId="0" borderId="2" xfId="0" applyFont="1" applyFill="1" applyBorder="1" applyProtection="1"/>
    <xf numFmtId="0" fontId="0" fillId="0" borderId="0" xfId="0" applyFill="1" applyBorder="1" applyAlignment="1" applyProtection="1">
      <alignment horizontal="right"/>
    </xf>
    <xf numFmtId="0" fontId="0" fillId="0" borderId="3" xfId="0" applyFill="1" applyBorder="1" applyAlignment="1" applyProtection="1">
      <alignment horizontal="right"/>
    </xf>
    <xf numFmtId="0" fontId="0" fillId="0" borderId="1" xfId="0" applyFill="1" applyBorder="1" applyAlignment="1" applyProtection="1">
      <alignment horizontal="left" vertical="center"/>
    </xf>
    <xf numFmtId="0" fontId="0" fillId="0" borderId="1" xfId="0" applyFill="1" applyBorder="1" applyProtection="1"/>
    <xf numFmtId="0" fontId="0" fillId="0" borderId="1" xfId="0" applyFont="1" applyFill="1" applyBorder="1" applyAlignment="1" applyProtection="1">
      <alignment horizontal="left" vertical="center"/>
    </xf>
    <xf numFmtId="0" fontId="0" fillId="6" borderId="8" xfId="0" applyFill="1" applyBorder="1" applyProtection="1"/>
    <xf numFmtId="0" fontId="0" fillId="6" borderId="3" xfId="0" applyFill="1" applyBorder="1" applyProtection="1"/>
    <xf numFmtId="0" fontId="1" fillId="4" borderId="1" xfId="0" applyFont="1" applyFill="1" applyBorder="1" applyAlignment="1" applyProtection="1">
      <alignment horizontal="center"/>
    </xf>
    <xf numFmtId="0" fontId="0" fillId="0" borderId="8" xfId="0" applyFill="1" applyBorder="1" applyAlignment="1" applyProtection="1">
      <alignment horizontal="right"/>
    </xf>
    <xf numFmtId="0" fontId="0" fillId="0" borderId="9" xfId="0" applyFill="1" applyBorder="1" applyAlignment="1" applyProtection="1">
      <alignment horizontal="right"/>
    </xf>
    <xf numFmtId="0" fontId="0" fillId="0" borderId="12" xfId="0" applyFill="1" applyBorder="1" applyAlignment="1" applyProtection="1">
      <alignment horizontal="right"/>
    </xf>
    <xf numFmtId="0" fontId="0" fillId="0" borderId="0" xfId="0" applyFill="1" applyBorder="1" applyProtection="1">
      <protection locked="0"/>
    </xf>
    <xf numFmtId="0" fontId="0" fillId="0" borderId="8" xfId="0" applyFill="1" applyBorder="1" applyAlignment="1" applyProtection="1">
      <alignment vertical="top" wrapText="1"/>
    </xf>
    <xf numFmtId="0" fontId="0" fillId="0" borderId="13" xfId="0" applyFont="1" applyFill="1" applyBorder="1" applyProtection="1"/>
    <xf numFmtId="0" fontId="1" fillId="0" borderId="13" xfId="0" applyFont="1" applyFill="1" applyBorder="1" applyProtection="1"/>
    <xf numFmtId="0" fontId="0" fillId="0" borderId="14" xfId="0" applyBorder="1" applyProtection="1"/>
    <xf numFmtId="0" fontId="11" fillId="3" borderId="8" xfId="0" applyFont="1" applyFill="1" applyBorder="1" applyProtection="1"/>
    <xf numFmtId="0" fontId="11" fillId="3" borderId="9" xfId="0" applyFont="1" applyFill="1" applyBorder="1" applyProtection="1"/>
    <xf numFmtId="0" fontId="0" fillId="3" borderId="8" xfId="0" applyFill="1" applyBorder="1" applyProtection="1"/>
    <xf numFmtId="0" fontId="0" fillId="3" borderId="9" xfId="0" applyFill="1" applyBorder="1" applyProtection="1"/>
    <xf numFmtId="0" fontId="0" fillId="3" borderId="8" xfId="0" applyFill="1" applyBorder="1" applyAlignment="1" applyProtection="1">
      <alignment horizontal="left"/>
    </xf>
    <xf numFmtId="0" fontId="0" fillId="3" borderId="9" xfId="0" applyFill="1" applyBorder="1" applyAlignment="1" applyProtection="1">
      <alignment horizontal="left"/>
    </xf>
    <xf numFmtId="0" fontId="1" fillId="13" borderId="4" xfId="0" applyFont="1" applyFill="1" applyBorder="1" applyAlignment="1" applyProtection="1">
      <alignment horizontal="center"/>
    </xf>
    <xf numFmtId="0" fontId="0" fillId="3" borderId="8" xfId="0" applyFill="1" applyBorder="1" applyAlignment="1" applyProtection="1">
      <alignment horizontal="left" vertical="top" wrapText="1"/>
    </xf>
    <xf numFmtId="0" fontId="0" fillId="3" borderId="9" xfId="0" applyFill="1" applyBorder="1" applyAlignment="1" applyProtection="1">
      <alignment horizontal="left" vertical="top" wrapText="1"/>
    </xf>
    <xf numFmtId="164" fontId="0" fillId="0" borderId="0" xfId="0" applyNumberForma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left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0" fontId="11" fillId="3" borderId="1" xfId="0" applyFont="1" applyFill="1" applyBorder="1" applyAlignment="1" applyProtection="1">
      <alignment horizontal="center"/>
      <protection locked="0"/>
    </xf>
    <xf numFmtId="0" fontId="7" fillId="0" borderId="14" xfId="1" applyFill="1" applyBorder="1" applyAlignment="1" applyProtection="1">
      <alignment horizontal="center"/>
    </xf>
    <xf numFmtId="0" fontId="11" fillId="0" borderId="0" xfId="0" applyFont="1" applyProtection="1"/>
    <xf numFmtId="164" fontId="0" fillId="0" borderId="4" xfId="0" applyNumberFormat="1" applyFill="1" applyBorder="1" applyAlignment="1" applyProtection="1">
      <alignment horizontal="center"/>
      <protection locked="0"/>
    </xf>
    <xf numFmtId="0" fontId="11" fillId="0" borderId="9" xfId="0" applyFont="1" applyFill="1" applyBorder="1" applyAlignment="1" applyProtection="1">
      <alignment horizontal="right"/>
    </xf>
    <xf numFmtId="0" fontId="11" fillId="0" borderId="11" xfId="0" applyFont="1" applyFill="1" applyBorder="1" applyAlignment="1" applyProtection="1">
      <alignment horizontal="right"/>
    </xf>
    <xf numFmtId="0" fontId="11" fillId="3" borderId="4" xfId="0" applyFont="1" applyFill="1" applyBorder="1" applyAlignment="1" applyProtection="1">
      <alignment horizontal="center"/>
      <protection locked="0"/>
    </xf>
    <xf numFmtId="0" fontId="23" fillId="0" borderId="0" xfId="0" applyFont="1" applyFill="1" applyBorder="1" applyAlignment="1" applyProtection="1">
      <alignment horizontal="center"/>
    </xf>
    <xf numFmtId="0" fontId="0" fillId="0" borderId="3" xfId="0" applyFont="1" applyFill="1" applyBorder="1" applyProtection="1"/>
    <xf numFmtId="0" fontId="0" fillId="0" borderId="12" xfId="0" applyFill="1" applyBorder="1" applyAlignment="1" applyProtection="1">
      <alignment vertical="top" wrapText="1"/>
    </xf>
    <xf numFmtId="0" fontId="0" fillId="0" borderId="10" xfId="0" applyFont="1" applyFill="1" applyBorder="1" applyAlignment="1" applyProtection="1">
      <alignment vertical="top"/>
    </xf>
    <xf numFmtId="0" fontId="1" fillId="0" borderId="14" xfId="0" applyFont="1" applyBorder="1" applyProtection="1"/>
    <xf numFmtId="0" fontId="0" fillId="0" borderId="13" xfId="0" applyFont="1" applyFill="1" applyBorder="1" applyAlignment="1" applyProtection="1">
      <alignment horizontal="left" vertical="center"/>
      <protection locked="0"/>
    </xf>
    <xf numFmtId="0" fontId="0" fillId="0" borderId="15" xfId="0" applyFont="1" applyFill="1" applyBorder="1" applyAlignment="1" applyProtection="1">
      <alignment horizontal="left" vertical="center"/>
      <protection locked="0"/>
    </xf>
    <xf numFmtId="0" fontId="0" fillId="0" borderId="14" xfId="0" applyFont="1" applyFill="1" applyBorder="1" applyAlignment="1" applyProtection="1">
      <alignment horizontal="left" vertical="center"/>
      <protection locked="0"/>
    </xf>
    <xf numFmtId="0" fontId="0" fillId="0" borderId="10" xfId="0" applyFill="1" applyBorder="1" applyAlignment="1" applyProtection="1">
      <alignment horizontal="center"/>
    </xf>
    <xf numFmtId="0" fontId="0" fillId="3" borderId="13" xfId="0" applyFont="1" applyFill="1" applyBorder="1" applyAlignment="1" applyProtection="1">
      <alignment horizontal="left" vertical="center"/>
      <protection locked="0"/>
    </xf>
    <xf numFmtId="0" fontId="0" fillId="3" borderId="15" xfId="0" applyFont="1" applyFill="1" applyBorder="1" applyAlignment="1" applyProtection="1">
      <alignment horizontal="left" vertical="center"/>
      <protection locked="0"/>
    </xf>
    <xf numFmtId="0" fontId="0" fillId="3" borderId="14" xfId="0" applyFont="1" applyFill="1" applyBorder="1" applyAlignment="1" applyProtection="1">
      <alignment horizontal="left" vertical="center"/>
      <protection locked="0"/>
    </xf>
    <xf numFmtId="49" fontId="0" fillId="3" borderId="13" xfId="0" applyNumberFormat="1" applyFont="1" applyFill="1" applyBorder="1" applyAlignment="1" applyProtection="1">
      <alignment horizontal="left" vertical="center"/>
      <protection locked="0"/>
    </xf>
    <xf numFmtId="49" fontId="0" fillId="3" borderId="15" xfId="0" applyNumberFormat="1" applyFont="1" applyFill="1" applyBorder="1" applyAlignment="1" applyProtection="1">
      <alignment horizontal="left" vertical="center"/>
      <protection locked="0"/>
    </xf>
    <xf numFmtId="49" fontId="0" fillId="3" borderId="14" xfId="0" applyNumberFormat="1" applyFont="1" applyFill="1" applyBorder="1" applyAlignment="1" applyProtection="1">
      <alignment horizontal="left" vertical="center"/>
      <protection locked="0"/>
    </xf>
    <xf numFmtId="14" fontId="0" fillId="3" borderId="13" xfId="0" applyNumberFormat="1" applyFont="1" applyFill="1" applyBorder="1" applyAlignment="1" applyProtection="1">
      <alignment horizontal="left" vertical="center"/>
      <protection locked="0"/>
    </xf>
    <xf numFmtId="14" fontId="0" fillId="3" borderId="14" xfId="0" applyNumberFormat="1" applyFont="1" applyFill="1" applyBorder="1" applyAlignment="1" applyProtection="1">
      <alignment horizontal="left" vertical="center"/>
      <protection locked="0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14" fontId="0" fillId="3" borderId="15" xfId="0" applyNumberFormat="1" applyFont="1" applyFill="1" applyBorder="1" applyAlignment="1" applyProtection="1">
      <alignment horizontal="left" vertical="center"/>
      <protection locked="0"/>
    </xf>
    <xf numFmtId="0" fontId="0" fillId="6" borderId="8" xfId="0" applyFont="1" applyFill="1" applyBorder="1" applyAlignment="1" applyProtection="1">
      <alignment horizontal="left"/>
    </xf>
    <xf numFmtId="0" fontId="0" fillId="6" borderId="0" xfId="0" applyFont="1" applyFill="1" applyBorder="1" applyAlignment="1" applyProtection="1">
      <alignment horizontal="left"/>
    </xf>
    <xf numFmtId="0" fontId="1" fillId="6" borderId="3" xfId="0" applyFont="1" applyFill="1" applyBorder="1" applyAlignment="1" applyProtection="1">
      <alignment horizontal="left"/>
    </xf>
    <xf numFmtId="0" fontId="0" fillId="3" borderId="13" xfId="0" applyFont="1" applyFill="1" applyBorder="1" applyAlignment="1" applyProtection="1">
      <alignment horizontal="left"/>
      <protection locked="0"/>
    </xf>
    <xf numFmtId="0" fontId="0" fillId="3" borderId="15" xfId="0" applyFont="1" applyFill="1" applyBorder="1" applyAlignment="1" applyProtection="1">
      <alignment horizontal="left"/>
      <protection locked="0"/>
    </xf>
    <xf numFmtId="0" fontId="0" fillId="3" borderId="14" xfId="0" applyFont="1" applyFill="1" applyBorder="1" applyAlignment="1" applyProtection="1">
      <alignment horizontal="left"/>
      <protection locked="0"/>
    </xf>
    <xf numFmtId="0" fontId="0" fillId="0" borderId="13" xfId="0" applyFont="1" applyFill="1" applyBorder="1" applyProtection="1"/>
    <xf numFmtId="0" fontId="0" fillId="0" borderId="15" xfId="0" applyFont="1" applyFill="1" applyBorder="1" applyProtection="1"/>
    <xf numFmtId="0" fontId="0" fillId="0" borderId="13" xfId="0" applyFont="1" applyBorder="1" applyProtection="1"/>
    <xf numFmtId="0" fontId="0" fillId="0" borderId="15" xfId="0" applyFont="1" applyBorder="1" applyProtection="1"/>
    <xf numFmtId="0" fontId="3" fillId="4" borderId="13" xfId="0" applyFont="1" applyFill="1" applyBorder="1" applyProtection="1"/>
    <xf numFmtId="0" fontId="3" fillId="4" borderId="15" xfId="0" applyFont="1" applyFill="1" applyBorder="1" applyProtection="1"/>
    <xf numFmtId="0" fontId="3" fillId="4" borderId="14" xfId="0" applyFont="1" applyFill="1" applyBorder="1" applyProtection="1"/>
    <xf numFmtId="0" fontId="1" fillId="0" borderId="13" xfId="0" applyFont="1" applyFill="1" applyBorder="1" applyProtection="1"/>
    <xf numFmtId="0" fontId="1" fillId="0" borderId="15" xfId="0" applyFont="1" applyFill="1" applyBorder="1" applyProtection="1"/>
    <xf numFmtId="0" fontId="0" fillId="0" borderId="13" xfId="0" applyFill="1" applyBorder="1" applyProtection="1"/>
    <xf numFmtId="0" fontId="0" fillId="0" borderId="15" xfId="0" applyFill="1" applyBorder="1" applyProtection="1"/>
    <xf numFmtId="0" fontId="0" fillId="0" borderId="13" xfId="0" applyFont="1" applyFill="1" applyBorder="1" applyAlignment="1" applyProtection="1"/>
    <xf numFmtId="0" fontId="0" fillId="0" borderId="15" xfId="0" applyFont="1" applyFill="1" applyBorder="1" applyAlignment="1" applyProtection="1"/>
    <xf numFmtId="0" fontId="0" fillId="0" borderId="13" xfId="0" applyBorder="1" applyProtection="1"/>
    <xf numFmtId="0" fontId="0" fillId="0" borderId="15" xfId="0" applyBorder="1" applyProtection="1"/>
    <xf numFmtId="0" fontId="0" fillId="3" borderId="2" xfId="0" applyFill="1" applyBorder="1" applyProtection="1">
      <protection locked="0"/>
    </xf>
    <xf numFmtId="0" fontId="0" fillId="3" borderId="0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11" fillId="3" borderId="2" xfId="0" applyFont="1" applyFill="1" applyBorder="1" applyProtection="1">
      <protection locked="0"/>
    </xf>
    <xf numFmtId="0" fontId="11" fillId="3" borderId="0" xfId="0" applyFont="1" applyFill="1" applyBorder="1" applyProtection="1">
      <protection locked="0"/>
    </xf>
    <xf numFmtId="0" fontId="11" fillId="3" borderId="11" xfId="0" applyFont="1" applyFill="1" applyBorder="1" applyProtection="1">
      <protection locked="0"/>
    </xf>
    <xf numFmtId="0" fontId="11" fillId="3" borderId="10" xfId="0" applyFont="1" applyFill="1" applyBorder="1" applyProtection="1">
      <protection locked="0"/>
    </xf>
    <xf numFmtId="0" fontId="11" fillId="3" borderId="3" xfId="0" applyFont="1" applyFill="1" applyBorder="1" applyProtection="1">
      <protection locked="0"/>
    </xf>
    <xf numFmtId="0" fontId="11" fillId="3" borderId="12" xfId="0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11" fillId="3" borderId="10" xfId="0" applyFont="1" applyFill="1" applyBorder="1" applyAlignment="1" applyProtection="1">
      <alignment horizontal="left"/>
      <protection locked="0"/>
    </xf>
    <xf numFmtId="0" fontId="11" fillId="3" borderId="3" xfId="0" applyFont="1" applyFill="1" applyBorder="1" applyAlignment="1" applyProtection="1">
      <alignment horizontal="left"/>
      <protection locked="0"/>
    </xf>
    <xf numFmtId="0" fontId="11" fillId="3" borderId="12" xfId="0" applyFont="1" applyFill="1" applyBorder="1" applyAlignment="1" applyProtection="1">
      <alignment horizontal="left"/>
      <protection locked="0"/>
    </xf>
    <xf numFmtId="0" fontId="11" fillId="3" borderId="7" xfId="0" applyFont="1" applyFill="1" applyBorder="1" applyProtection="1">
      <protection locked="0"/>
    </xf>
    <xf numFmtId="0" fontId="11" fillId="3" borderId="8" xfId="0" applyFont="1" applyFill="1" applyBorder="1" applyProtection="1">
      <protection locked="0"/>
    </xf>
    <xf numFmtId="0" fontId="11" fillId="3" borderId="9" xfId="0" applyFont="1" applyFill="1" applyBorder="1" applyProtection="1">
      <protection locked="0"/>
    </xf>
    <xf numFmtId="0" fontId="0" fillId="6" borderId="8" xfId="0" applyFont="1" applyFill="1" applyBorder="1" applyProtection="1"/>
    <xf numFmtId="0" fontId="0" fillId="6" borderId="0" xfId="0" applyFont="1" applyFill="1" applyBorder="1" applyProtection="1"/>
    <xf numFmtId="49" fontId="0" fillId="6" borderId="0" xfId="0" applyNumberFormat="1" applyFont="1" applyFill="1" applyBorder="1" applyAlignment="1" applyProtection="1">
      <alignment horizontal="left"/>
    </xf>
    <xf numFmtId="0" fontId="0" fillId="6" borderId="3" xfId="0" applyFont="1" applyFill="1" applyBorder="1" applyAlignment="1" applyProtection="1">
      <alignment horizontal="left"/>
    </xf>
    <xf numFmtId="49" fontId="0" fillId="6" borderId="3" xfId="0" applyNumberFormat="1" applyFont="1" applyFill="1" applyBorder="1" applyAlignment="1" applyProtection="1">
      <alignment horizontal="left"/>
    </xf>
    <xf numFmtId="0" fontId="0" fillId="6" borderId="9" xfId="0" applyFont="1" applyFill="1" applyBorder="1" applyAlignment="1" applyProtection="1">
      <alignment horizontal="left"/>
    </xf>
    <xf numFmtId="14" fontId="0" fillId="6" borderId="0" xfId="0" applyNumberFormat="1" applyFont="1" applyFill="1" applyBorder="1" applyAlignment="1" applyProtection="1">
      <alignment horizontal="left"/>
    </xf>
    <xf numFmtId="14" fontId="0" fillId="6" borderId="11" xfId="0" applyNumberFormat="1" applyFont="1" applyFill="1" applyBorder="1" applyAlignment="1" applyProtection="1">
      <alignment horizontal="left"/>
    </xf>
    <xf numFmtId="0" fontId="0" fillId="6" borderId="11" xfId="0" applyFont="1" applyFill="1" applyBorder="1" applyAlignment="1" applyProtection="1">
      <alignment horizontal="left"/>
    </xf>
    <xf numFmtId="0" fontId="0" fillId="6" borderId="12" xfId="0" applyFont="1" applyFill="1" applyBorder="1" applyAlignment="1" applyProtection="1">
      <alignment horizontal="left"/>
    </xf>
    <xf numFmtId="0" fontId="23" fillId="0" borderId="0" xfId="0" applyFont="1" applyFill="1" applyBorder="1" applyProtection="1">
      <protection locked="0"/>
    </xf>
    <xf numFmtId="49" fontId="0" fillId="6" borderId="0" xfId="0" applyNumberFormat="1" applyFont="1" applyFill="1" applyBorder="1" applyProtection="1"/>
    <xf numFmtId="49" fontId="0" fillId="6" borderId="3" xfId="0" applyNumberFormat="1" applyFont="1" applyFill="1" applyBorder="1" applyProtection="1"/>
    <xf numFmtId="0" fontId="0" fillId="3" borderId="2" xfId="0" applyFill="1" applyBorder="1" applyAlignment="1" applyProtection="1">
      <alignment horizontal="left"/>
      <protection locked="0"/>
    </xf>
    <xf numFmtId="0" fontId="0" fillId="3" borderId="0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0" xfId="0" applyFill="1" applyBorder="1" applyAlignment="1" applyProtection="1">
      <alignment horizontal="left"/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0" fillId="3" borderId="12" xfId="0" applyFill="1" applyBorder="1" applyAlignment="1" applyProtection="1">
      <alignment horizontal="left"/>
      <protection locked="0"/>
    </xf>
    <xf numFmtId="0" fontId="0" fillId="3" borderId="10" xfId="0" applyFill="1" applyBorder="1" applyAlignment="1" applyProtection="1">
      <alignment horizontal="left" vertical="top" wrapText="1"/>
      <protection locked="0"/>
    </xf>
    <xf numFmtId="0" fontId="0" fillId="3" borderId="3" xfId="0" applyFill="1" applyBorder="1" applyAlignment="1" applyProtection="1">
      <alignment horizontal="left" vertical="top" wrapText="1"/>
      <protection locked="0"/>
    </xf>
    <xf numFmtId="0" fontId="0" fillId="3" borderId="12" xfId="0" applyFill="1" applyBorder="1" applyAlignment="1" applyProtection="1">
      <alignment horizontal="left" vertical="top" wrapText="1"/>
      <protection locked="0"/>
    </xf>
    <xf numFmtId="0" fontId="0" fillId="3" borderId="2" xfId="0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vertical="top" wrapText="1"/>
      <protection locked="0"/>
    </xf>
    <xf numFmtId="0" fontId="0" fillId="3" borderId="11" xfId="0" applyFill="1" applyBorder="1" applyAlignment="1" applyProtection="1">
      <alignment vertical="top" wrapText="1"/>
      <protection locked="0"/>
    </xf>
    <xf numFmtId="0" fontId="0" fillId="2" borderId="7" xfId="0" applyFill="1" applyBorder="1" applyProtection="1"/>
    <xf numFmtId="0" fontId="0" fillId="2" borderId="8" xfId="0" applyFill="1" applyBorder="1" applyProtection="1"/>
    <xf numFmtId="0" fontId="0" fillId="2" borderId="9" xfId="0" applyFill="1" applyBorder="1" applyProtection="1"/>
    <xf numFmtId="0" fontId="0" fillId="2" borderId="2" xfId="0" applyFill="1" applyBorder="1" applyProtection="1"/>
    <xf numFmtId="0" fontId="0" fillId="2" borderId="0" xfId="0" applyFill="1" applyBorder="1" applyProtection="1"/>
    <xf numFmtId="0" fontId="0" fillId="2" borderId="11" xfId="0" applyFill="1" applyBorder="1" applyProtection="1"/>
    <xf numFmtId="0" fontId="0" fillId="2" borderId="10" xfId="0" applyFill="1" applyBorder="1" applyProtection="1"/>
    <xf numFmtId="0" fontId="0" fillId="2" borderId="3" xfId="0" applyFill="1" applyBorder="1" applyProtection="1"/>
    <xf numFmtId="0" fontId="0" fillId="2" borderId="12" xfId="0" applyFill="1" applyBorder="1" applyProtection="1"/>
    <xf numFmtId="0" fontId="0" fillId="3" borderId="15" xfId="0" applyFill="1" applyBorder="1" applyProtection="1"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9" fillId="3" borderId="2" xfId="0" applyFont="1" applyFill="1" applyBorder="1" applyAlignment="1" applyProtection="1">
      <alignment vertical="top" wrapText="1"/>
      <protection locked="0"/>
    </xf>
    <xf numFmtId="0" fontId="9" fillId="3" borderId="0" xfId="0" applyFont="1" applyFill="1" applyBorder="1" applyAlignment="1" applyProtection="1">
      <alignment vertical="top" wrapText="1"/>
      <protection locked="0"/>
    </xf>
    <xf numFmtId="0" fontId="9" fillId="3" borderId="11" xfId="0" applyFont="1" applyFill="1" applyBorder="1" applyAlignment="1" applyProtection="1">
      <alignment vertical="top" wrapText="1"/>
      <protection locked="0"/>
    </xf>
    <xf numFmtId="0" fontId="0" fillId="3" borderId="7" xfId="0" applyFill="1" applyBorder="1" applyAlignment="1" applyProtection="1">
      <alignment horizontal="left"/>
      <protection locked="0"/>
    </xf>
    <xf numFmtId="0" fontId="0" fillId="3" borderId="8" xfId="0" applyFill="1" applyBorder="1" applyAlignment="1" applyProtection="1">
      <alignment horizontal="left"/>
      <protection locked="0"/>
    </xf>
    <xf numFmtId="0" fontId="0" fillId="3" borderId="9" xfId="0" applyFill="1" applyBorder="1" applyAlignment="1" applyProtection="1">
      <alignment horizontal="left"/>
      <protection locked="0"/>
    </xf>
    <xf numFmtId="0" fontId="0" fillId="3" borderId="13" xfId="0" applyFill="1" applyBorder="1" applyAlignment="1" applyProtection="1">
      <alignment horizontal="left"/>
      <protection locked="0"/>
    </xf>
    <xf numFmtId="0" fontId="0" fillId="3" borderId="15" xfId="0" applyFill="1" applyBorder="1" applyAlignment="1" applyProtection="1">
      <alignment horizontal="left"/>
      <protection locked="0"/>
    </xf>
    <xf numFmtId="0" fontId="0" fillId="3" borderId="14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</xf>
    <xf numFmtId="0" fontId="0" fillId="2" borderId="15" xfId="0" applyFill="1" applyBorder="1" applyAlignment="1" applyProtection="1">
      <alignment horizontal="center"/>
    </xf>
    <xf numFmtId="0" fontId="0" fillId="2" borderId="14" xfId="0" applyFill="1" applyBorder="1" applyAlignment="1" applyProtection="1">
      <alignment horizontal="center"/>
    </xf>
    <xf numFmtId="0" fontId="12" fillId="0" borderId="13" xfId="0" applyFont="1" applyBorder="1" applyAlignment="1" applyProtection="1">
      <alignment horizontal="left" vertical="center"/>
    </xf>
    <xf numFmtId="0" fontId="12" fillId="0" borderId="15" xfId="0" applyFont="1" applyBorder="1" applyAlignment="1" applyProtection="1">
      <alignment horizontal="left" vertical="center"/>
    </xf>
    <xf numFmtId="0" fontId="12" fillId="0" borderId="14" xfId="0" applyFont="1" applyBorder="1" applyAlignment="1" applyProtection="1">
      <alignment horizontal="left" vertical="center"/>
    </xf>
    <xf numFmtId="0" fontId="13" fillId="0" borderId="13" xfId="0" applyFont="1" applyBorder="1" applyAlignment="1" applyProtection="1">
      <alignment horizontal="left" vertical="center"/>
    </xf>
    <xf numFmtId="0" fontId="13" fillId="0" borderId="15" xfId="0" applyFont="1" applyBorder="1" applyAlignment="1" applyProtection="1">
      <alignment horizontal="left" vertical="center"/>
    </xf>
    <xf numFmtId="0" fontId="13" fillId="0" borderId="14" xfId="0" applyFont="1" applyBorder="1" applyAlignment="1" applyProtection="1">
      <alignment horizontal="left" vertical="center"/>
    </xf>
    <xf numFmtId="0" fontId="0" fillId="0" borderId="14" xfId="0" applyBorder="1" applyProtection="1"/>
    <xf numFmtId="0" fontId="12" fillId="3" borderId="13" xfId="0" applyFont="1" applyFill="1" applyBorder="1" applyAlignment="1" applyProtection="1">
      <alignment vertical="center"/>
      <protection locked="0"/>
    </xf>
    <xf numFmtId="0" fontId="12" fillId="3" borderId="15" xfId="0" applyFont="1" applyFill="1" applyBorder="1" applyAlignment="1" applyProtection="1">
      <alignment vertical="center"/>
      <protection locked="0"/>
    </xf>
    <xf numFmtId="0" fontId="12" fillId="3" borderId="14" xfId="0" applyFont="1" applyFill="1" applyBorder="1" applyAlignment="1" applyProtection="1">
      <alignment vertical="center"/>
      <protection locked="0"/>
    </xf>
    <xf numFmtId="0" fontId="12" fillId="0" borderId="13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14" xfId="0" applyFont="1" applyBorder="1" applyAlignment="1" applyProtection="1">
      <alignment vertical="center"/>
    </xf>
    <xf numFmtId="0" fontId="12" fillId="3" borderId="13" xfId="0" applyFont="1" applyFill="1" applyBorder="1" applyAlignment="1" applyProtection="1">
      <alignment horizontal="left" vertical="center"/>
      <protection locked="0"/>
    </xf>
    <xf numFmtId="0" fontId="12" fillId="3" borderId="15" xfId="0" applyFont="1" applyFill="1" applyBorder="1" applyAlignment="1" applyProtection="1">
      <alignment horizontal="left" vertical="center"/>
      <protection locked="0"/>
    </xf>
    <xf numFmtId="0" fontId="12" fillId="3" borderId="14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Protection="1"/>
    <xf numFmtId="0" fontId="1" fillId="2" borderId="15" xfId="0" applyFont="1" applyFill="1" applyBorder="1" applyProtection="1"/>
    <xf numFmtId="0" fontId="1" fillId="2" borderId="14" xfId="0" applyFont="1" applyFill="1" applyBorder="1" applyProtection="1"/>
    <xf numFmtId="0" fontId="1" fillId="0" borderId="3" xfId="0" applyFont="1" applyBorder="1" applyAlignment="1" applyProtection="1">
      <alignment horizontal="center"/>
    </xf>
  </cellXfs>
  <cellStyles count="3">
    <cellStyle name="Bemærk!" xfId="2" builtinId="10"/>
    <cellStyle name="Link" xfId="1" builtinId="8"/>
    <cellStyle name="Normal" xfId="0" builtinId="0"/>
  </cellStyles>
  <dxfs count="180">
    <dxf>
      <fill>
        <patternFill>
          <bgColor rgb="FFCCFFCC"/>
        </patternFill>
      </fill>
    </dxf>
    <dxf>
      <fill>
        <patternFill>
          <bgColor rgb="FFFF7C80"/>
        </patternFill>
      </fill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ill>
        <patternFill>
          <bgColor theme="9" tint="0.79998168889431442"/>
        </patternFill>
      </fill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ill>
        <patternFill>
          <bgColor rgb="FFCCFFCC"/>
        </patternFill>
      </fill>
    </dxf>
    <dxf>
      <font>
        <color theme="0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ill>
        <patternFill>
          <bgColor theme="5" tint="0.59996337778862885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CCFFCC"/>
        </patternFill>
      </fill>
    </dxf>
    <dxf>
      <font>
        <color theme="0"/>
      </font>
      <fill>
        <patternFill patternType="solid">
          <bgColor theme="0" tint="-4.9989318521683403E-2"/>
        </patternFill>
      </fill>
      <border>
        <left/>
        <right/>
        <top/>
        <bottom/>
        <vertical/>
        <horizontal/>
      </border>
    </dxf>
    <dxf>
      <fill>
        <patternFill>
          <bgColor rgb="FFCCFFCC"/>
        </patternFill>
      </fill>
    </dxf>
    <dxf>
      <fill>
        <patternFill>
          <bgColor theme="5" tint="0.59996337778862885"/>
        </patternFill>
      </fill>
    </dxf>
    <dxf>
      <fill>
        <patternFill>
          <bgColor rgb="FFFF7C80"/>
        </patternFill>
      </fill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ill>
        <patternFill>
          <bgColor rgb="FFCCFFCC"/>
        </patternFill>
      </fill>
    </dxf>
    <dxf>
      <font>
        <color theme="0"/>
      </font>
      <fill>
        <patternFill patternType="solid">
          <bgColor theme="0" tint="-4.9989318521683403E-2"/>
        </patternFill>
      </fill>
      <border>
        <left style="thin">
          <color auto="1"/>
        </left>
        <right/>
        <top/>
        <bottom/>
        <vertical/>
        <horizontal/>
      </border>
    </dxf>
    <dxf>
      <fill>
        <patternFill>
          <bgColor theme="5" tint="0.59996337778862885"/>
        </patternFill>
      </fill>
    </dxf>
    <dxf>
      <fill>
        <patternFill>
          <bgColor rgb="FFCCFFCC"/>
        </patternFill>
      </fill>
    </dxf>
    <dxf>
      <fill>
        <patternFill>
          <bgColor theme="5" tint="0.59996337778862885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CCFFCC"/>
        </patternFill>
      </fill>
    </dxf>
    <dxf>
      <fill>
        <patternFill>
          <bgColor theme="9" tint="0.79998168889431442"/>
        </patternFill>
      </fill>
    </dxf>
    <dxf>
      <fill>
        <patternFill>
          <bgColor rgb="FFFF7C80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ont>
        <color theme="0"/>
      </font>
      <fill>
        <patternFill patternType="solid">
          <bgColor theme="0" tint="-4.9989318521683403E-2"/>
        </patternFill>
      </fill>
      <border>
        <left/>
        <right style="thin">
          <color auto="1"/>
        </right>
        <top/>
        <bottom style="thin">
          <color auto="1"/>
        </bottom>
        <vertical/>
        <horizontal/>
      </border>
    </dxf>
    <dxf>
      <font>
        <color theme="0"/>
      </font>
      <fill>
        <patternFill patternType="solid">
          <bgColor theme="0" tint="-4.9989318521683403E-2"/>
        </patternFill>
      </fill>
      <border>
        <left style="thin">
          <color auto="1"/>
        </left>
        <right/>
        <top/>
        <bottom/>
      </border>
    </dxf>
    <dxf>
      <fill>
        <patternFill>
          <bgColor theme="5" tint="0.59996337778862885"/>
        </patternFill>
      </fill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ill>
        <patternFill>
          <bgColor theme="5" tint="0.59996337778862885"/>
        </patternFill>
      </fill>
    </dxf>
    <dxf>
      <fill>
        <patternFill>
          <bgColor rgb="FFCCFFCC"/>
        </patternFill>
      </fill>
    </dxf>
    <dxf>
      <fill>
        <patternFill>
          <bgColor theme="5" tint="0.59996337778862885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ill>
        <patternFill>
          <bgColor rgb="FFCCFFCC"/>
        </patternFill>
      </fill>
    </dxf>
    <dxf>
      <fill>
        <patternFill>
          <bgColor theme="5" tint="0.59996337778862885"/>
        </patternFill>
      </fill>
    </dxf>
    <dxf>
      <fill>
        <patternFill>
          <bgColor rgb="FFCCFFCC"/>
        </patternFill>
      </fill>
    </dxf>
    <dxf>
      <font>
        <color theme="0"/>
      </font>
      <fill>
        <patternFill>
          <bgColor theme="0" tint="-4.9989318521683403E-2"/>
        </patternFill>
      </fill>
      <border>
        <left style="thin">
          <color auto="1"/>
        </left>
        <right/>
        <top/>
        <bottom style="thin">
          <color auto="1"/>
        </bottom>
        <vertical/>
        <horizontal/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auto="1"/>
        </left>
        <right/>
        <top/>
        <bottom style="thin">
          <color auto="1"/>
        </bottom>
        <vertical/>
        <horizontal/>
      </border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CCFFCC"/>
        </patternFill>
      </fill>
    </dxf>
    <dxf>
      <font>
        <color theme="0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CCFFCC"/>
        </patternFill>
      </fill>
    </dxf>
    <dxf>
      <fill>
        <patternFill patternType="lightGray">
          <bgColor theme="0" tint="-4.9989318521683403E-2"/>
        </patternFill>
      </fill>
    </dxf>
    <dxf>
      <font>
        <color theme="0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 patternType="solid">
          <bgColor theme="0" tint="-4.9989318521683403E-2"/>
        </patternFill>
      </fill>
      <border>
        <left/>
        <right/>
        <top/>
        <bottom/>
        <vertical/>
        <horizontal/>
      </border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ill>
        <patternFill patternType="lightGray">
          <bgColor theme="0" tint="-4.9989318521683403E-2"/>
        </patternFill>
      </fill>
    </dxf>
    <dxf>
      <font>
        <color theme="0"/>
      </font>
      <fill>
        <patternFill patternType="solid">
          <bgColor theme="0" tint="-4.9989318521683403E-2"/>
        </patternFill>
      </fill>
      <border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auto="1"/>
        </left>
        <right/>
        <top/>
        <bottom style="thin">
          <color auto="1"/>
        </bottom>
        <vertical/>
        <horizontal/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auto="1"/>
        </left>
        <right/>
        <top/>
        <bottom style="thin">
          <color auto="1"/>
        </bottom>
        <vertical/>
        <horizontal/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/>
        </patternFill>
      </fill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ill>
        <patternFill>
          <bgColor theme="5" tint="0.59996337778862885"/>
        </patternFill>
      </fill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theme="0" tint="-4.9989318521683403E-2"/>
        </patternFill>
      </fill>
      <border>
        <left/>
        <right/>
        <top/>
        <bottom/>
        <vertical/>
        <horizontal/>
      </border>
    </dxf>
    <dxf>
      <fill>
        <patternFill>
          <bgColor theme="5" tint="0.59996337778862885"/>
        </patternFill>
      </fill>
    </dxf>
    <dxf>
      <font>
        <color theme="0"/>
      </font>
      <fill>
        <patternFill patternType="solid">
          <bgColor theme="0" tint="-4.9989318521683403E-2"/>
        </patternFill>
      </fill>
      <border>
        <left style="thin">
          <color auto="1"/>
        </left>
        <right/>
        <top/>
        <bottom/>
      </border>
    </dxf>
    <dxf>
      <font>
        <color theme="0"/>
      </font>
      <fill>
        <patternFill patternType="solid">
          <bgColor theme="0" tint="-4.9989318521683403E-2"/>
        </patternFill>
      </fill>
      <border>
        <left/>
        <right/>
        <top/>
        <bottom/>
      </border>
    </dxf>
    <dxf>
      <font>
        <color theme="0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 style="thin">
          <color auto="1"/>
        </left>
        <right/>
        <top/>
        <bottom/>
      </border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ill>
        <patternFill>
          <bgColor rgb="FFFFFF00"/>
        </patternFill>
      </fill>
    </dxf>
    <dxf>
      <font>
        <color theme="0"/>
      </font>
      <fill>
        <patternFill patternType="solid">
          <bgColor theme="0" tint="-4.9989318521683403E-2"/>
        </patternFill>
      </fill>
      <border>
        <left style="thin">
          <color auto="1"/>
        </left>
        <right/>
        <top/>
        <bottom style="thin">
          <color auto="1"/>
        </bottom>
        <vertical/>
        <horizontal/>
      </border>
    </dxf>
    <dxf>
      <font>
        <color theme="0"/>
      </font>
      <fill>
        <patternFill patternType="solid">
          <bgColor theme="0" tint="-4.9989318521683403E-2"/>
        </patternFill>
      </fill>
      <border>
        <left style="thin">
          <color auto="1"/>
        </left>
        <right/>
        <top/>
        <bottom style="thin">
          <color auto="1"/>
        </bottom>
        <vertical/>
        <horizontal/>
      </border>
    </dxf>
    <dxf>
      <font>
        <color theme="0"/>
      </font>
      <fill>
        <patternFill patternType="solid">
          <bgColor theme="0" tint="-4.9989318521683403E-2"/>
        </patternFill>
      </fill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font>
        <color theme="0"/>
      </font>
      <fill>
        <patternFill patternType="solid">
          <bgColor theme="0" tint="-4.9989318521683403E-2"/>
        </patternFill>
      </fill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ill>
        <patternFill>
          <bgColor rgb="FFCCFFCC"/>
        </patternFill>
      </fill>
    </dxf>
    <dxf>
      <fill>
        <patternFill>
          <bgColor rgb="FFFFFF00"/>
        </patternFill>
      </fill>
    </dxf>
    <dxf>
      <font>
        <color theme="0"/>
      </font>
      <fill>
        <patternFill patternType="none">
          <fgColor auto="1"/>
          <bgColor auto="1"/>
        </patternFill>
      </fill>
    </dxf>
    <dxf>
      <font>
        <color theme="0"/>
      </font>
      <fill>
        <patternFill patternType="solid">
          <bgColor theme="0" tint="-4.9989318521683403E-2"/>
        </patternFill>
      </fill>
      <border>
        <left style="thin">
          <color auto="1"/>
        </left>
        <right/>
        <top/>
        <bottom/>
        <vertical/>
        <horizontal/>
      </border>
    </dxf>
    <dxf>
      <font>
        <color theme="0"/>
      </font>
      <fill>
        <patternFill patternType="solid">
          <bgColor theme="0" tint="-4.9989318521683403E-2"/>
        </patternFill>
      </fill>
      <border>
        <left/>
        <right/>
        <top/>
        <bottom/>
        <vertical/>
        <horizontal/>
      </border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ont>
        <color theme="0"/>
      </font>
      <fill>
        <patternFill patternType="solid">
          <bgColor theme="0" tint="-4.9989318521683403E-2"/>
        </patternFill>
      </fill>
      <border>
        <left style="thin">
          <color auto="1"/>
        </left>
        <right/>
        <top/>
        <bottom/>
      </border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ont>
        <color theme="0"/>
      </font>
      <fill>
        <patternFill patternType="solid">
          <bgColor theme="0" tint="-4.9989318521683403E-2"/>
        </patternFill>
      </fill>
      <border>
        <left style="thin">
          <color auto="1"/>
        </left>
        <right/>
        <top/>
        <bottom/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ill>
        <patternFill>
          <bgColor rgb="FFCCFFCC"/>
        </patternFill>
      </fill>
    </dxf>
    <dxf>
      <fill>
        <patternFill>
          <bgColor rgb="FFFFFF00"/>
        </patternFill>
      </fill>
    </dxf>
    <dxf>
      <fill>
        <patternFill>
          <bgColor rgb="FFCCFFCC"/>
        </patternFill>
      </fill>
    </dxf>
    <dxf>
      <fill>
        <patternFill>
          <bgColor rgb="FFFF7C80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 style="thin">
          <color auto="1"/>
        </bottom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 style="thin">
          <color auto="1"/>
        </left>
        <right/>
        <top/>
        <bottom style="thin">
          <color auto="1"/>
        </bottom>
      </border>
    </dxf>
    <dxf>
      <font>
        <color theme="0"/>
      </font>
      <fill>
        <patternFill patternType="solid">
          <bgColor theme="0" tint="-4.9989318521683403E-2"/>
        </patternFill>
      </fill>
      <border>
        <left style="thin">
          <color auto="1"/>
        </left>
        <right/>
        <top/>
        <bottom style="thin">
          <color auto="1"/>
        </bottom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color theme="0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color theme="0"/>
      </font>
      <fill>
        <patternFill patternType="solid">
          <bgColor theme="0" tint="-4.9989318521683403E-2"/>
        </patternFill>
      </fill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font>
        <color auto="1"/>
      </font>
      <fill>
        <patternFill patternType="none">
          <fgColor auto="1"/>
          <bgColor auto="1"/>
        </patternFill>
      </fill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FFCC"/>
      <color rgb="FFCCFFCC"/>
      <color rgb="FFFFCC99"/>
      <color rgb="FFCCECFF"/>
      <color rgb="FFFF7C80"/>
      <color rgb="FFFF5050"/>
      <color rgb="FFFF3300"/>
      <color rgb="FFFF9966"/>
      <color rgb="FFFF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11" Type="http://schemas.openxmlformats.org/officeDocument/2006/relationships/image" Target="../media/image15.png"/><Relationship Id="rId5" Type="http://schemas.openxmlformats.org/officeDocument/2006/relationships/image" Target="../media/image9.png"/><Relationship Id="rId10" Type="http://schemas.openxmlformats.org/officeDocument/2006/relationships/image" Target="../media/image14.png"/><Relationship Id="rId4" Type="http://schemas.openxmlformats.org/officeDocument/2006/relationships/image" Target="../media/image8.png"/><Relationship Id="rId9" Type="http://schemas.openxmlformats.org/officeDocument/2006/relationships/image" Target="../media/image1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4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323850</xdr:colOff>
      <xdr:row>93</xdr:row>
      <xdr:rowOff>114300</xdr:rowOff>
    </xdr:from>
    <xdr:to>
      <xdr:col>12</xdr:col>
      <xdr:colOff>723994</xdr:colOff>
      <xdr:row>105</xdr:row>
      <xdr:rowOff>160616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38EF3AF3-A751-C638-E555-45EC4C664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20050" y="17497425"/>
          <a:ext cx="3343369" cy="2332316"/>
        </a:xfrm>
        <a:prstGeom prst="rect">
          <a:avLst/>
        </a:prstGeom>
      </xdr:spPr>
    </xdr:pic>
    <xdr:clientData/>
  </xdr:twoCellAnchor>
  <xdr:twoCellAnchor editAs="oneCell">
    <xdr:from>
      <xdr:col>4</xdr:col>
      <xdr:colOff>638175</xdr:colOff>
      <xdr:row>93</xdr:row>
      <xdr:rowOff>47624</xdr:rowOff>
    </xdr:from>
    <xdr:to>
      <xdr:col>8</xdr:col>
      <xdr:colOff>20201</xdr:colOff>
      <xdr:row>104</xdr:row>
      <xdr:rowOff>113029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0B8DAC04-83FD-011B-74FF-37E08300C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86275" y="17430749"/>
          <a:ext cx="3230126" cy="216090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28576</xdr:colOff>
      <xdr:row>93</xdr:row>
      <xdr:rowOff>76200</xdr:rowOff>
    </xdr:from>
    <xdr:to>
      <xdr:col>4</xdr:col>
      <xdr:colOff>292137</xdr:colOff>
      <xdr:row>107</xdr:row>
      <xdr:rowOff>165684</xdr:rowOff>
    </xdr:to>
    <xdr:pic>
      <xdr:nvPicPr>
        <xdr:cNvPr id="4" name="Billede 3">
          <a:extLst>
            <a:ext uri="{FF2B5EF4-FFF2-40B4-BE49-F238E27FC236}">
              <a16:creationId xmlns:a16="http://schemas.microsoft.com/office/drawing/2014/main" id="{58DA36FF-01AB-35E1-D62B-83D87DBC4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0601" y="17459325"/>
          <a:ext cx="3149636" cy="275648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952501</xdr:colOff>
      <xdr:row>236</xdr:row>
      <xdr:rowOff>28575</xdr:rowOff>
    </xdr:from>
    <xdr:to>
      <xdr:col>3</xdr:col>
      <xdr:colOff>904876</xdr:colOff>
      <xdr:row>249</xdr:row>
      <xdr:rowOff>12786</xdr:rowOff>
    </xdr:to>
    <xdr:pic>
      <xdr:nvPicPr>
        <xdr:cNvPr id="5" name="Billede 4">
          <a:extLst>
            <a:ext uri="{FF2B5EF4-FFF2-40B4-BE49-F238E27FC236}">
              <a16:creationId xmlns:a16="http://schemas.microsoft.com/office/drawing/2014/main" id="{1E7502CE-BA3D-C363-B38F-80AEED577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1" y="43243500"/>
          <a:ext cx="2838450" cy="246071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46</xdr:row>
      <xdr:rowOff>19050</xdr:rowOff>
    </xdr:from>
    <xdr:to>
      <xdr:col>9</xdr:col>
      <xdr:colOff>495300</xdr:colOff>
      <xdr:row>55</xdr:row>
      <xdr:rowOff>0</xdr:rowOff>
    </xdr:to>
    <xdr:grpSp>
      <xdr:nvGrpSpPr>
        <xdr:cNvPr id="7" name="Gruppe 6">
          <a:extLst>
            <a:ext uri="{FF2B5EF4-FFF2-40B4-BE49-F238E27FC236}">
              <a16:creationId xmlns:a16="http://schemas.microsoft.com/office/drawing/2014/main" id="{C1754DB6-453C-CF6D-F1E1-6D35064D6DDA}"/>
            </a:ext>
          </a:extLst>
        </xdr:cNvPr>
        <xdr:cNvGrpSpPr/>
      </xdr:nvGrpSpPr>
      <xdr:grpSpPr>
        <a:xfrm>
          <a:off x="0" y="8972550"/>
          <a:ext cx="9153525" cy="1695450"/>
          <a:chOff x="0" y="8382000"/>
          <a:chExt cx="9153525" cy="1701041"/>
        </a:xfrm>
      </xdr:grpSpPr>
      <xdr:pic>
        <xdr:nvPicPr>
          <xdr:cNvPr id="2" name="Billede 1">
            <a:extLst>
              <a:ext uri="{FF2B5EF4-FFF2-40B4-BE49-F238E27FC236}">
                <a16:creationId xmlns:a16="http://schemas.microsoft.com/office/drawing/2014/main" id="{B9770CB4-8C51-55D1-11CF-AC4736B0851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0" y="8382000"/>
            <a:ext cx="1581150" cy="1641194"/>
          </a:xfrm>
          <a:prstGeom prst="rect">
            <a:avLst/>
          </a:prstGeom>
        </xdr:spPr>
      </xdr:pic>
      <xdr:pic>
        <xdr:nvPicPr>
          <xdr:cNvPr id="3" name="Billede 2">
            <a:extLst>
              <a:ext uri="{FF2B5EF4-FFF2-40B4-BE49-F238E27FC236}">
                <a16:creationId xmlns:a16="http://schemas.microsoft.com/office/drawing/2014/main" id="{439697A7-29FF-4575-4219-CB7FC499F2B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924051" y="8382001"/>
            <a:ext cx="1524000" cy="1623608"/>
          </a:xfrm>
          <a:prstGeom prst="rect">
            <a:avLst/>
          </a:prstGeom>
        </xdr:spPr>
      </xdr:pic>
      <xdr:pic>
        <xdr:nvPicPr>
          <xdr:cNvPr id="4" name="Billede 3">
            <a:extLst>
              <a:ext uri="{FF2B5EF4-FFF2-40B4-BE49-F238E27FC236}">
                <a16:creationId xmlns:a16="http://schemas.microsoft.com/office/drawing/2014/main" id="{4E921395-7BB6-58A5-C0A4-913B002A32C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3848101" y="8382001"/>
            <a:ext cx="1562100" cy="1681068"/>
          </a:xfrm>
          <a:prstGeom prst="rect">
            <a:avLst/>
          </a:prstGeom>
        </xdr:spPr>
      </xdr:pic>
      <xdr:pic>
        <xdr:nvPicPr>
          <xdr:cNvPr id="5" name="Billede 4">
            <a:extLst>
              <a:ext uri="{FF2B5EF4-FFF2-40B4-BE49-F238E27FC236}">
                <a16:creationId xmlns:a16="http://schemas.microsoft.com/office/drawing/2014/main" id="{09DCE760-D657-620B-A9B7-A4D519F521E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5772150" y="8382000"/>
            <a:ext cx="1457325" cy="1690298"/>
          </a:xfrm>
          <a:prstGeom prst="rect">
            <a:avLst/>
          </a:prstGeom>
        </xdr:spPr>
      </xdr:pic>
      <xdr:pic>
        <xdr:nvPicPr>
          <xdr:cNvPr id="6" name="Billede 5">
            <a:extLst>
              <a:ext uri="{FF2B5EF4-FFF2-40B4-BE49-F238E27FC236}">
                <a16:creationId xmlns:a16="http://schemas.microsoft.com/office/drawing/2014/main" id="{416CB4B1-1275-FF1C-A08F-90BB4B494C3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7696200" y="8382000"/>
            <a:ext cx="1457325" cy="1701041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0</xdr:colOff>
      <xdr:row>92</xdr:row>
      <xdr:rowOff>0</xdr:rowOff>
    </xdr:from>
    <xdr:to>
      <xdr:col>4</xdr:col>
      <xdr:colOff>295275</xdr:colOff>
      <xdr:row>100</xdr:row>
      <xdr:rowOff>38100</xdr:rowOff>
    </xdr:to>
    <xdr:pic>
      <xdr:nvPicPr>
        <xdr:cNvPr id="8" name="Billede 7">
          <a:extLst>
            <a:ext uri="{FF2B5EF4-FFF2-40B4-BE49-F238E27FC236}">
              <a16:creationId xmlns:a16="http://schemas.microsoft.com/office/drawing/2014/main" id="{197A104C-55FE-20FD-7CB4-FB4D73F89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17002125"/>
          <a:ext cx="3181350" cy="156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933450</xdr:colOff>
      <xdr:row>92</xdr:row>
      <xdr:rowOff>28575</xdr:rowOff>
    </xdr:from>
    <xdr:to>
      <xdr:col>7</xdr:col>
      <xdr:colOff>581025</xdr:colOff>
      <xdr:row>100</xdr:row>
      <xdr:rowOff>28575</xdr:rowOff>
    </xdr:to>
    <xdr:pic>
      <xdr:nvPicPr>
        <xdr:cNvPr id="9" name="Billede 8">
          <a:extLst>
            <a:ext uri="{FF2B5EF4-FFF2-40B4-BE49-F238E27FC236}">
              <a16:creationId xmlns:a16="http://schemas.microsoft.com/office/drawing/2014/main" id="{A3DD1437-3E44-145F-1761-067E8A5A9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5767388" y="17006887"/>
          <a:ext cx="1524000" cy="157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</xdr:colOff>
      <xdr:row>142</xdr:row>
      <xdr:rowOff>0</xdr:rowOff>
    </xdr:from>
    <xdr:to>
      <xdr:col>3</xdr:col>
      <xdr:colOff>152401</xdr:colOff>
      <xdr:row>152</xdr:row>
      <xdr:rowOff>111360</xdr:rowOff>
    </xdr:to>
    <xdr:pic>
      <xdr:nvPicPr>
        <xdr:cNvPr id="10" name="Billede 9">
          <a:extLst>
            <a:ext uri="{FF2B5EF4-FFF2-40B4-BE49-F238E27FC236}">
              <a16:creationId xmlns:a16="http://schemas.microsoft.com/office/drawing/2014/main" id="{6181A7B5-67E7-68D7-3E75-A478CF6EE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6" y="26003250"/>
          <a:ext cx="2076450" cy="2016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</xdr:colOff>
      <xdr:row>207</xdr:row>
      <xdr:rowOff>0</xdr:rowOff>
    </xdr:from>
    <xdr:to>
      <xdr:col>3</xdr:col>
      <xdr:colOff>285751</xdr:colOff>
      <xdr:row>218</xdr:row>
      <xdr:rowOff>43245</xdr:rowOff>
    </xdr:to>
    <xdr:pic>
      <xdr:nvPicPr>
        <xdr:cNvPr id="11" name="Billede 10">
          <a:extLst>
            <a:ext uri="{FF2B5EF4-FFF2-40B4-BE49-F238E27FC236}">
              <a16:creationId xmlns:a16="http://schemas.microsoft.com/office/drawing/2014/main" id="{F7A4975F-E6BC-8A0D-87EB-94BDC45BA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6" y="37480875"/>
          <a:ext cx="2209800" cy="2138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542925</xdr:colOff>
      <xdr:row>275</xdr:row>
      <xdr:rowOff>1</xdr:rowOff>
    </xdr:from>
    <xdr:to>
      <xdr:col>9</xdr:col>
      <xdr:colOff>942975</xdr:colOff>
      <xdr:row>286</xdr:row>
      <xdr:rowOff>132989</xdr:rowOff>
    </xdr:to>
    <xdr:pic>
      <xdr:nvPicPr>
        <xdr:cNvPr id="12" name="Billede 11">
          <a:extLst>
            <a:ext uri="{FF2B5EF4-FFF2-40B4-BE49-F238E27FC236}">
              <a16:creationId xmlns:a16="http://schemas.microsoft.com/office/drawing/2014/main" id="{E24DE8DB-AFC3-0C28-BED8-68A62E334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52768501"/>
          <a:ext cx="2324100" cy="2228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335</xdr:row>
      <xdr:rowOff>1</xdr:rowOff>
    </xdr:from>
    <xdr:to>
      <xdr:col>2</xdr:col>
      <xdr:colOff>923925</xdr:colOff>
      <xdr:row>344</xdr:row>
      <xdr:rowOff>117049</xdr:rowOff>
    </xdr:to>
    <xdr:pic>
      <xdr:nvPicPr>
        <xdr:cNvPr id="13" name="Billede 12">
          <a:extLst>
            <a:ext uri="{FF2B5EF4-FFF2-40B4-BE49-F238E27FC236}">
              <a16:creationId xmlns:a16="http://schemas.microsoft.com/office/drawing/2014/main" id="{4DBC6C1F-9736-6881-8BCE-EB5CF8DE6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64246126"/>
          <a:ext cx="1885950" cy="18315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142875</xdr:colOff>
      <xdr:row>11</xdr:row>
      <xdr:rowOff>171449</xdr:rowOff>
    </xdr:from>
    <xdr:to>
      <xdr:col>17</xdr:col>
      <xdr:colOff>487175</xdr:colOff>
      <xdr:row>21</xdr:row>
      <xdr:rowOff>28574</xdr:rowOff>
    </xdr:to>
    <xdr:pic>
      <xdr:nvPicPr>
        <xdr:cNvPr id="9" name="Billede 8">
          <a:extLst>
            <a:ext uri="{FF2B5EF4-FFF2-40B4-BE49-F238E27FC236}">
              <a16:creationId xmlns:a16="http://schemas.microsoft.com/office/drawing/2014/main" id="{24853DA5-50CD-4804-8567-949036523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53600" y="2552699"/>
          <a:ext cx="2954150" cy="1762125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11</xdr:row>
      <xdr:rowOff>171451</xdr:rowOff>
    </xdr:from>
    <xdr:to>
      <xdr:col>4</xdr:col>
      <xdr:colOff>188398</xdr:colOff>
      <xdr:row>20</xdr:row>
      <xdr:rowOff>161925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B28EEDAF-476E-150C-A090-84C805763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775" y="2552701"/>
          <a:ext cx="2950648" cy="1704974"/>
        </a:xfrm>
        <a:prstGeom prst="rect">
          <a:avLst/>
        </a:prstGeom>
      </xdr:spPr>
    </xdr:pic>
    <xdr:clientData/>
  </xdr:twoCellAnchor>
  <xdr:twoCellAnchor editAs="oneCell">
    <xdr:from>
      <xdr:col>4</xdr:col>
      <xdr:colOff>466725</xdr:colOff>
      <xdr:row>12</xdr:row>
      <xdr:rowOff>19051</xdr:rowOff>
    </xdr:from>
    <xdr:to>
      <xdr:col>7</xdr:col>
      <xdr:colOff>1576049</xdr:colOff>
      <xdr:row>20</xdr:row>
      <xdr:rowOff>180975</xdr:rowOff>
    </xdr:to>
    <xdr:pic>
      <xdr:nvPicPr>
        <xdr:cNvPr id="4" name="Billede 3">
          <a:extLst>
            <a:ext uri="{FF2B5EF4-FFF2-40B4-BE49-F238E27FC236}">
              <a16:creationId xmlns:a16="http://schemas.microsoft.com/office/drawing/2014/main" id="{B65D0A40-A312-B7AC-5DFD-7B0F1F50D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33750" y="2590801"/>
          <a:ext cx="2938124" cy="1685924"/>
        </a:xfrm>
        <a:prstGeom prst="rect">
          <a:avLst/>
        </a:prstGeom>
      </xdr:spPr>
    </xdr:pic>
    <xdr:clientData/>
  </xdr:twoCellAnchor>
  <xdr:twoCellAnchor editAs="oneCell">
    <xdr:from>
      <xdr:col>7</xdr:col>
      <xdr:colOff>1819275</xdr:colOff>
      <xdr:row>12</xdr:row>
      <xdr:rowOff>0</xdr:rowOff>
    </xdr:from>
    <xdr:to>
      <xdr:col>12</xdr:col>
      <xdr:colOff>451360</xdr:colOff>
      <xdr:row>20</xdr:row>
      <xdr:rowOff>171450</xdr:rowOff>
    </xdr:to>
    <xdr:pic>
      <xdr:nvPicPr>
        <xdr:cNvPr id="5" name="Billede 4">
          <a:extLst>
            <a:ext uri="{FF2B5EF4-FFF2-40B4-BE49-F238E27FC236}">
              <a16:creationId xmlns:a16="http://schemas.microsoft.com/office/drawing/2014/main" id="{44F973A0-604A-4587-9BAC-4B45A32BE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15100" y="2571750"/>
          <a:ext cx="2937385" cy="16954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s@d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R47"/>
  <sheetViews>
    <sheetView zoomScaleNormal="100" workbookViewId="0">
      <selection activeCell="I32" sqref="I32"/>
    </sheetView>
  </sheetViews>
  <sheetFormatPr defaultRowHeight="15" x14ac:dyDescent="0.25"/>
  <cols>
    <col min="1" max="1" width="31.42578125" style="170" customWidth="1"/>
    <col min="2" max="2" width="25.28515625" style="170" customWidth="1"/>
    <col min="3" max="3" width="8.5703125" style="170" customWidth="1"/>
    <col min="4" max="4" width="18.5703125" style="170" customWidth="1"/>
    <col min="5" max="5" width="26.140625" style="170" customWidth="1"/>
    <col min="6" max="6" width="24.140625" style="170" customWidth="1"/>
    <col min="7" max="7" width="25.140625" style="170" customWidth="1"/>
    <col min="8" max="11" width="9.140625" style="170"/>
    <col min="12" max="12" width="0" style="170" hidden="1" customWidth="1"/>
    <col min="13" max="16384" width="9.140625" style="170"/>
  </cols>
  <sheetData>
    <row r="1" spans="1:18" ht="18.75" x14ac:dyDescent="0.3">
      <c r="A1" s="2" t="s">
        <v>0</v>
      </c>
      <c r="B1" s="3"/>
      <c r="C1" s="3"/>
      <c r="D1" s="3"/>
      <c r="E1" s="3"/>
      <c r="F1" s="3"/>
      <c r="G1" s="3"/>
    </row>
    <row r="2" spans="1:18" x14ac:dyDescent="0.25">
      <c r="A2" s="24" t="s">
        <v>1</v>
      </c>
      <c r="B2" s="420" t="str">
        <f>IF($B$9="","",$B$9)</f>
        <v/>
      </c>
      <c r="C2" s="420"/>
      <c r="D2" s="27" t="s">
        <v>3</v>
      </c>
      <c r="E2" s="27" t="str">
        <f>IF($F$9="","",$F$9)</f>
        <v/>
      </c>
      <c r="F2" s="27" t="s">
        <v>424</v>
      </c>
      <c r="G2" s="99" t="str">
        <f>IF($B$14="","",$B$14)</f>
        <v/>
      </c>
    </row>
    <row r="3" spans="1:18" x14ac:dyDescent="0.25">
      <c r="A3" s="29" t="s">
        <v>68</v>
      </c>
      <c r="B3" s="421" t="str">
        <f>IF($B$10="","",$B$10)</f>
        <v/>
      </c>
      <c r="C3" s="421"/>
      <c r="D3" s="212" t="s">
        <v>373</v>
      </c>
      <c r="E3" s="32" t="str">
        <f>IF($B$15="","",$B$15)</f>
        <v>Bi-plan</v>
      </c>
      <c r="F3" s="32" t="s">
        <v>6</v>
      </c>
      <c r="G3" s="100" t="str">
        <f>IF($F$10="","",$F$10)</f>
        <v/>
      </c>
    </row>
    <row r="4" spans="1:18" x14ac:dyDescent="0.25">
      <c r="A4" s="34" t="s">
        <v>67</v>
      </c>
      <c r="B4" s="421" t="str">
        <f>IF($B$11="","",$B$11)</f>
        <v/>
      </c>
      <c r="C4" s="421"/>
      <c r="D4" s="32" t="s">
        <v>5</v>
      </c>
      <c r="E4" s="32" t="str">
        <f>IF($B$17="","",$B$17)</f>
        <v/>
      </c>
      <c r="F4" s="32" t="s">
        <v>8</v>
      </c>
      <c r="G4" s="101" t="str">
        <f>IF($F$12="","",$F$12)</f>
        <v/>
      </c>
    </row>
    <row r="5" spans="1:18" x14ac:dyDescent="0.25">
      <c r="A5" s="29" t="s">
        <v>9</v>
      </c>
      <c r="B5" s="421" t="str">
        <f>IF($B$12="","",$B$12)</f>
        <v/>
      </c>
      <c r="C5" s="421"/>
      <c r="D5" s="32" t="s">
        <v>7</v>
      </c>
      <c r="E5" s="32" t="str">
        <f>IF($B$18="","",$B$18)</f>
        <v/>
      </c>
      <c r="F5" s="32" t="s">
        <v>11</v>
      </c>
      <c r="G5" s="100" t="str">
        <f>IF($F$11="","",$F$11)</f>
        <v/>
      </c>
    </row>
    <row r="6" spans="1:18" x14ac:dyDescent="0.25">
      <c r="A6" s="8" t="s">
        <v>517</v>
      </c>
      <c r="B6" s="422" t="str">
        <f>IF($B$20="","",$B$20)</f>
        <v/>
      </c>
      <c r="C6" s="422"/>
      <c r="D6" s="9" t="s">
        <v>423</v>
      </c>
      <c r="E6" s="9" t="str">
        <f>IF($B$19="","",$B$19)</f>
        <v/>
      </c>
      <c r="F6" s="35"/>
      <c r="G6" s="64"/>
    </row>
    <row r="8" spans="1:18" ht="21" x14ac:dyDescent="0.35">
      <c r="A8" s="43" t="s">
        <v>12</v>
      </c>
      <c r="B8" s="1" t="s">
        <v>603</v>
      </c>
      <c r="C8" s="1"/>
      <c r="D8" s="4"/>
      <c r="E8" s="4"/>
      <c r="F8" s="4"/>
      <c r="G8" s="4"/>
      <c r="I8" s="43" t="s">
        <v>574</v>
      </c>
      <c r="J8" s="45"/>
      <c r="K8" s="45"/>
      <c r="L8" s="45"/>
      <c r="M8" s="45"/>
      <c r="N8" s="45"/>
      <c r="O8" s="45"/>
      <c r="P8" s="45"/>
      <c r="Q8" s="45"/>
      <c r="R8" s="45"/>
    </row>
    <row r="9" spans="1:18" x14ac:dyDescent="0.25">
      <c r="A9" s="5" t="s">
        <v>13</v>
      </c>
      <c r="B9" s="409"/>
      <c r="C9" s="410"/>
      <c r="D9" s="411"/>
      <c r="E9" s="6" t="s">
        <v>19</v>
      </c>
      <c r="F9" s="409"/>
      <c r="G9" s="411"/>
      <c r="I9" s="313" t="s">
        <v>571</v>
      </c>
      <c r="J9" s="314"/>
      <c r="K9" s="314"/>
      <c r="L9" s="314"/>
      <c r="M9" s="314"/>
      <c r="N9" s="314"/>
      <c r="O9" s="314"/>
      <c r="P9" s="314"/>
      <c r="Q9" s="314"/>
      <c r="R9" s="315"/>
    </row>
    <row r="10" spans="1:18" x14ac:dyDescent="0.25">
      <c r="A10" s="5" t="s">
        <v>69</v>
      </c>
      <c r="B10" s="409"/>
      <c r="C10" s="410"/>
      <c r="D10" s="411"/>
      <c r="E10" s="6" t="s">
        <v>20</v>
      </c>
      <c r="F10" s="415"/>
      <c r="G10" s="416"/>
      <c r="I10" s="299" t="s">
        <v>570</v>
      </c>
      <c r="J10" s="300"/>
      <c r="K10" s="300"/>
      <c r="L10" s="300"/>
      <c r="M10" s="300"/>
      <c r="N10" s="300"/>
      <c r="O10" s="300"/>
      <c r="P10" s="300"/>
      <c r="Q10" s="300"/>
      <c r="R10" s="316"/>
    </row>
    <row r="11" spans="1:18" x14ac:dyDescent="0.25">
      <c r="A11" s="5" t="s">
        <v>70</v>
      </c>
      <c r="B11" s="409"/>
      <c r="C11" s="410"/>
      <c r="D11" s="411"/>
      <c r="E11" s="6" t="s">
        <v>21</v>
      </c>
      <c r="F11" s="415"/>
      <c r="G11" s="416"/>
      <c r="I11" s="238"/>
      <c r="J11" s="215"/>
      <c r="K11" s="215"/>
      <c r="L11" s="215"/>
      <c r="M11" s="215"/>
      <c r="N11" s="215"/>
      <c r="O11" s="215"/>
      <c r="P11" s="215"/>
      <c r="Q11" s="215"/>
      <c r="R11" s="226"/>
    </row>
    <row r="12" spans="1:18" x14ac:dyDescent="0.25">
      <c r="A12" s="5" t="s">
        <v>636</v>
      </c>
      <c r="B12" s="412"/>
      <c r="C12" s="413"/>
      <c r="D12" s="414"/>
      <c r="E12" s="6" t="s">
        <v>22</v>
      </c>
      <c r="F12" s="409"/>
      <c r="G12" s="411"/>
      <c r="I12" s="299" t="s">
        <v>633</v>
      </c>
      <c r="J12" s="300"/>
      <c r="K12" s="300"/>
      <c r="L12" s="300"/>
      <c r="M12" s="300"/>
      <c r="N12" s="300"/>
      <c r="O12" s="300"/>
      <c r="P12" s="300"/>
      <c r="Q12" s="300"/>
      <c r="R12" s="316"/>
    </row>
    <row r="13" spans="1:18" x14ac:dyDescent="0.25">
      <c r="A13" s="6" t="s">
        <v>14</v>
      </c>
      <c r="B13" s="409"/>
      <c r="C13" s="410"/>
      <c r="D13" s="411"/>
      <c r="E13" s="6" t="s">
        <v>23</v>
      </c>
      <c r="F13" s="412"/>
      <c r="G13" s="414"/>
      <c r="I13" s="299" t="s">
        <v>634</v>
      </c>
      <c r="J13" s="300"/>
      <c r="K13" s="300"/>
      <c r="L13" s="300"/>
      <c r="M13" s="300"/>
      <c r="N13" s="300"/>
      <c r="O13" s="300"/>
      <c r="P13" s="300"/>
      <c r="Q13" s="300"/>
      <c r="R13" s="316"/>
    </row>
    <row r="14" spans="1:18" x14ac:dyDescent="0.25">
      <c r="A14" s="6" t="s">
        <v>15</v>
      </c>
      <c r="B14" s="409"/>
      <c r="C14" s="410"/>
      <c r="D14" s="411"/>
      <c r="E14" s="6" t="s">
        <v>24</v>
      </c>
      <c r="F14" s="409"/>
      <c r="G14" s="411"/>
      <c r="I14" s="299" t="s">
        <v>635</v>
      </c>
      <c r="J14" s="215"/>
      <c r="K14" s="215"/>
      <c r="L14" s="215"/>
      <c r="M14" s="215"/>
      <c r="N14" s="215"/>
      <c r="O14" s="215"/>
      <c r="P14" s="215"/>
      <c r="Q14" s="215"/>
      <c r="R14" s="226"/>
    </row>
    <row r="15" spans="1:18" x14ac:dyDescent="0.25">
      <c r="A15" s="366" t="s">
        <v>601</v>
      </c>
      <c r="B15" s="409" t="s">
        <v>439</v>
      </c>
      <c r="C15" s="410"/>
      <c r="D15" s="411"/>
      <c r="E15" s="119"/>
      <c r="F15" s="409"/>
      <c r="G15" s="411"/>
      <c r="I15" s="238"/>
      <c r="J15" s="215"/>
      <c r="K15" s="215"/>
      <c r="L15" s="215"/>
      <c r="M15" s="215"/>
      <c r="N15" s="215"/>
      <c r="O15" s="215"/>
      <c r="P15" s="215"/>
      <c r="Q15" s="215"/>
      <c r="R15" s="226"/>
    </row>
    <row r="16" spans="1:18" x14ac:dyDescent="0.25">
      <c r="A16" s="366" t="s">
        <v>602</v>
      </c>
      <c r="B16" s="409" t="s">
        <v>420</v>
      </c>
      <c r="C16" s="410"/>
      <c r="D16" s="411"/>
      <c r="E16" s="6" t="s">
        <v>25</v>
      </c>
      <c r="F16" s="412"/>
      <c r="G16" s="414"/>
      <c r="I16" s="317" t="s">
        <v>575</v>
      </c>
      <c r="J16" s="215"/>
      <c r="K16" s="215"/>
      <c r="L16" s="215"/>
      <c r="M16" s="215"/>
      <c r="N16" s="215"/>
      <c r="O16" s="215"/>
      <c r="P16" s="215"/>
      <c r="Q16" s="215"/>
      <c r="R16" s="226"/>
    </row>
    <row r="17" spans="1:18" x14ac:dyDescent="0.25">
      <c r="A17" s="6" t="s">
        <v>16</v>
      </c>
      <c r="B17" s="409"/>
      <c r="C17" s="410"/>
      <c r="D17" s="411"/>
      <c r="E17" s="6" t="s">
        <v>26</v>
      </c>
      <c r="F17" s="409"/>
      <c r="G17" s="411"/>
      <c r="I17" s="317" t="s">
        <v>576</v>
      </c>
      <c r="J17" s="215"/>
      <c r="K17" s="215"/>
      <c r="L17" s="215"/>
      <c r="M17" s="215"/>
      <c r="N17" s="215"/>
      <c r="O17" s="215"/>
      <c r="P17" s="215"/>
      <c r="Q17" s="215"/>
      <c r="R17" s="226"/>
    </row>
    <row r="18" spans="1:18" x14ac:dyDescent="0.25">
      <c r="A18" s="6" t="s">
        <v>17</v>
      </c>
      <c r="B18" s="412"/>
      <c r="C18" s="413"/>
      <c r="D18" s="414"/>
      <c r="E18" s="6" t="s">
        <v>577</v>
      </c>
      <c r="F18" s="415"/>
      <c r="G18" s="416"/>
      <c r="I18" s="238"/>
      <c r="J18" s="215"/>
      <c r="K18" s="215"/>
      <c r="L18" s="215"/>
      <c r="M18" s="215"/>
      <c r="N18" s="215"/>
      <c r="O18" s="215"/>
      <c r="P18" s="215"/>
      <c r="Q18" s="215"/>
      <c r="R18" s="226"/>
    </row>
    <row r="19" spans="1:18" x14ac:dyDescent="0.25">
      <c r="A19" s="129" t="s">
        <v>419</v>
      </c>
      <c r="B19" s="412"/>
      <c r="C19" s="413"/>
      <c r="D19" s="414"/>
      <c r="E19" s="6" t="s">
        <v>27</v>
      </c>
      <c r="F19" s="409"/>
      <c r="G19" s="411"/>
      <c r="I19" s="299" t="s">
        <v>822</v>
      </c>
      <c r="J19" s="215"/>
      <c r="K19" s="215"/>
      <c r="L19" s="215"/>
      <c r="M19" s="215"/>
      <c r="N19" s="215"/>
      <c r="O19" s="215"/>
      <c r="P19" s="215"/>
      <c r="Q19" s="215"/>
      <c r="R19" s="226"/>
    </row>
    <row r="20" spans="1:18" x14ac:dyDescent="0.25">
      <c r="A20" s="6" t="s">
        <v>665</v>
      </c>
      <c r="B20" s="412"/>
      <c r="C20" s="413"/>
      <c r="D20" s="414"/>
      <c r="E20" s="6" t="s">
        <v>577</v>
      </c>
      <c r="F20" s="415"/>
      <c r="G20" s="416"/>
      <c r="I20" s="299" t="s">
        <v>572</v>
      </c>
      <c r="J20" s="241"/>
      <c r="K20" s="215"/>
      <c r="L20" s="215"/>
      <c r="M20" s="215"/>
      <c r="N20" s="215"/>
      <c r="O20" s="215"/>
      <c r="P20" s="215"/>
      <c r="Q20" s="215"/>
      <c r="R20" s="226"/>
    </row>
    <row r="21" spans="1:18" x14ac:dyDescent="0.25">
      <c r="A21" s="6" t="s">
        <v>18</v>
      </c>
      <c r="B21" s="415"/>
      <c r="C21" s="419"/>
      <c r="D21" s="416"/>
      <c r="E21" s="13"/>
      <c r="F21" s="417"/>
      <c r="G21" s="418"/>
      <c r="I21" s="299" t="s">
        <v>573</v>
      </c>
      <c r="J21" s="215"/>
      <c r="K21" s="215"/>
      <c r="L21" s="215"/>
      <c r="M21" s="215"/>
      <c r="N21" s="215"/>
      <c r="O21" s="215"/>
      <c r="P21" s="215"/>
      <c r="Q21" s="215"/>
      <c r="R21" s="226"/>
    </row>
    <row r="22" spans="1:18" x14ac:dyDescent="0.25">
      <c r="A22" s="6" t="s">
        <v>422</v>
      </c>
      <c r="B22" s="415"/>
      <c r="C22" s="419"/>
      <c r="D22" s="416"/>
      <c r="E22" s="13"/>
      <c r="F22" s="417"/>
      <c r="G22" s="418"/>
      <c r="I22" s="238"/>
      <c r="J22" s="215"/>
      <c r="K22" s="215"/>
      <c r="L22" s="215"/>
      <c r="M22" s="215"/>
      <c r="N22" s="215"/>
      <c r="O22" s="215"/>
      <c r="P22" s="215"/>
      <c r="Q22" s="215"/>
      <c r="R22" s="226"/>
    </row>
    <row r="23" spans="1:18" x14ac:dyDescent="0.25">
      <c r="A23" s="366" t="s">
        <v>664</v>
      </c>
      <c r="B23" s="405"/>
      <c r="C23" s="406"/>
      <c r="D23" s="407"/>
      <c r="E23" s="368"/>
      <c r="F23" s="409"/>
      <c r="G23" s="411"/>
      <c r="I23" s="317" t="s">
        <v>823</v>
      </c>
      <c r="J23" s="215"/>
      <c r="K23" s="215"/>
      <c r="L23" s="215"/>
      <c r="M23" s="215"/>
      <c r="N23" s="215"/>
      <c r="O23" s="215"/>
      <c r="P23" s="215"/>
      <c r="Q23" s="215"/>
      <c r="R23" s="226"/>
    </row>
    <row r="24" spans="1:18" x14ac:dyDescent="0.25">
      <c r="A24" s="366" t="s">
        <v>663</v>
      </c>
      <c r="B24" s="409"/>
      <c r="C24" s="410"/>
      <c r="D24" s="411"/>
      <c r="E24" s="115"/>
      <c r="F24" s="409"/>
      <c r="G24" s="411"/>
      <c r="I24" s="242"/>
      <c r="J24" s="168"/>
      <c r="K24" s="168"/>
      <c r="L24" s="168"/>
      <c r="M24" s="168"/>
      <c r="N24" s="168"/>
      <c r="O24" s="168"/>
      <c r="P24" s="168"/>
      <c r="Q24" s="168"/>
      <c r="R24" s="232"/>
    </row>
    <row r="25" spans="1:18" x14ac:dyDescent="0.25">
      <c r="A25" s="16"/>
      <c r="B25" s="409"/>
      <c r="C25" s="410"/>
      <c r="D25" s="411"/>
      <c r="E25" s="115"/>
      <c r="F25" s="409"/>
      <c r="G25" s="411"/>
    </row>
    <row r="26" spans="1:18" x14ac:dyDescent="0.25">
      <c r="A26" s="16"/>
      <c r="B26" s="409"/>
      <c r="C26" s="410"/>
      <c r="D26" s="411"/>
      <c r="E26" s="115"/>
      <c r="F26" s="409"/>
      <c r="G26" s="411"/>
    </row>
    <row r="27" spans="1:18" x14ac:dyDescent="0.25">
      <c r="A27" s="16"/>
      <c r="B27" s="409"/>
      <c r="C27" s="410"/>
      <c r="D27" s="411"/>
      <c r="E27" s="115"/>
      <c r="F27" s="409"/>
      <c r="G27" s="411"/>
      <c r="I27" s="213"/>
    </row>
    <row r="28" spans="1:18" x14ac:dyDescent="0.25">
      <c r="A28" s="16"/>
      <c r="B28" s="409"/>
      <c r="C28" s="410"/>
      <c r="D28" s="411"/>
      <c r="E28" s="115"/>
      <c r="F28" s="409"/>
      <c r="G28" s="411"/>
    </row>
    <row r="29" spans="1:18" x14ac:dyDescent="0.25">
      <c r="A29" s="16"/>
      <c r="B29" s="409"/>
      <c r="C29" s="410"/>
      <c r="D29" s="411"/>
      <c r="E29" s="115"/>
      <c r="F29" s="409"/>
      <c r="G29" s="411"/>
    </row>
    <row r="30" spans="1:18" x14ac:dyDescent="0.25">
      <c r="A30" s="16"/>
      <c r="B30" s="409"/>
      <c r="C30" s="410"/>
      <c r="D30" s="411"/>
      <c r="E30" s="115"/>
      <c r="F30" s="409"/>
      <c r="G30" s="411"/>
    </row>
    <row r="31" spans="1:18" x14ac:dyDescent="0.25">
      <c r="A31" s="16"/>
      <c r="B31" s="409"/>
      <c r="C31" s="410"/>
      <c r="D31" s="411"/>
      <c r="E31" s="115"/>
      <c r="F31" s="409"/>
      <c r="G31" s="411"/>
    </row>
    <row r="32" spans="1:18" x14ac:dyDescent="0.25">
      <c r="A32" s="7"/>
      <c r="B32" s="7"/>
      <c r="C32" s="7"/>
      <c r="D32" s="7"/>
      <c r="E32" s="7"/>
    </row>
    <row r="33" spans="1:10" x14ac:dyDescent="0.25">
      <c r="A33" s="7"/>
      <c r="B33" s="7"/>
      <c r="C33" s="7"/>
      <c r="D33" s="7"/>
      <c r="E33" s="7"/>
    </row>
    <row r="34" spans="1:10" x14ac:dyDescent="0.25">
      <c r="A34" s="7"/>
      <c r="B34" s="7"/>
      <c r="C34" s="7"/>
      <c r="D34" s="7"/>
      <c r="E34" s="7"/>
    </row>
    <row r="35" spans="1:10" ht="18.75" x14ac:dyDescent="0.3">
      <c r="A35" s="2" t="s">
        <v>28</v>
      </c>
      <c r="B35" s="3"/>
      <c r="C35" s="3"/>
      <c r="D35" s="3"/>
      <c r="E35" s="3"/>
      <c r="F35" s="3"/>
      <c r="G35" s="3"/>
    </row>
    <row r="36" spans="1:10" x14ac:dyDescent="0.25">
      <c r="A36" s="10" t="s">
        <v>29</v>
      </c>
      <c r="B36" s="294" t="s">
        <v>826</v>
      </c>
      <c r="C36" s="307"/>
      <c r="D36" s="14"/>
      <c r="E36" s="15"/>
      <c r="F36" s="292"/>
      <c r="G36" s="312"/>
    </row>
    <row r="37" spans="1:10" x14ac:dyDescent="0.25">
      <c r="A37" s="10" t="s">
        <v>30</v>
      </c>
      <c r="B37" s="294" t="s">
        <v>827</v>
      </c>
      <c r="C37" s="307"/>
      <c r="D37" s="295"/>
      <c r="E37" s="295"/>
      <c r="F37" s="292"/>
      <c r="G37" s="312"/>
    </row>
    <row r="38" spans="1:10" x14ac:dyDescent="0.25">
      <c r="A38" s="10" t="s">
        <v>31</v>
      </c>
      <c r="B38" s="377" t="s">
        <v>681</v>
      </c>
      <c r="C38" s="307"/>
      <c r="D38" s="295"/>
      <c r="E38" s="295"/>
      <c r="F38" s="15"/>
      <c r="G38" s="394" t="s">
        <v>680</v>
      </c>
    </row>
    <row r="39" spans="1:10" x14ac:dyDescent="0.25">
      <c r="A39" s="11" t="s">
        <v>32</v>
      </c>
      <c r="B39" s="296" t="s">
        <v>33</v>
      </c>
      <c r="C39" s="303"/>
      <c r="D39" s="297"/>
      <c r="E39" s="297"/>
      <c r="F39" s="297"/>
      <c r="G39" s="379"/>
    </row>
    <row r="40" spans="1:10" x14ac:dyDescent="0.25">
      <c r="A40" s="12" t="s">
        <v>32</v>
      </c>
      <c r="B40" s="296" t="s">
        <v>416</v>
      </c>
      <c r="C40" s="303"/>
      <c r="D40" s="297"/>
      <c r="E40" s="297"/>
      <c r="F40" s="297"/>
      <c r="G40" s="379"/>
      <c r="J40" s="213"/>
    </row>
    <row r="41" spans="1:10" x14ac:dyDescent="0.25">
      <c r="A41" s="324" t="s">
        <v>32</v>
      </c>
      <c r="B41" s="296" t="s">
        <v>417</v>
      </c>
      <c r="C41" s="303"/>
      <c r="D41" s="297"/>
      <c r="E41" s="297"/>
      <c r="F41" s="297"/>
      <c r="G41" s="379"/>
    </row>
    <row r="42" spans="1:10" x14ac:dyDescent="0.25">
      <c r="A42" s="118" t="s">
        <v>32</v>
      </c>
      <c r="B42" s="296" t="s">
        <v>418</v>
      </c>
      <c r="C42" s="303"/>
      <c r="D42" s="297"/>
      <c r="E42" s="297"/>
      <c r="F42" s="297"/>
      <c r="G42" s="379"/>
    </row>
    <row r="43" spans="1:10" x14ac:dyDescent="0.25">
      <c r="A43" s="13" t="s">
        <v>34</v>
      </c>
      <c r="B43" s="296" t="s">
        <v>35</v>
      </c>
      <c r="C43" s="303"/>
      <c r="D43" s="297"/>
      <c r="E43" s="297"/>
      <c r="F43" s="297"/>
      <c r="G43" s="379"/>
    </row>
    <row r="44" spans="1:10" x14ac:dyDescent="0.25">
      <c r="A44" s="13" t="s">
        <v>36</v>
      </c>
      <c r="B44" s="296" t="s">
        <v>37</v>
      </c>
      <c r="C44" s="303"/>
      <c r="D44" s="297"/>
      <c r="E44" s="297"/>
      <c r="F44" s="297"/>
      <c r="G44" s="379"/>
    </row>
    <row r="45" spans="1:10" x14ac:dyDescent="0.25">
      <c r="A45" s="367" t="s">
        <v>637</v>
      </c>
      <c r="B45" s="339" t="s">
        <v>638</v>
      </c>
      <c r="C45" s="303"/>
      <c r="D45" s="297"/>
      <c r="E45" s="297"/>
      <c r="F45" s="297"/>
      <c r="G45" s="379"/>
    </row>
    <row r="46" spans="1:10" x14ac:dyDescent="0.25">
      <c r="A46" s="13"/>
      <c r="B46" s="296"/>
      <c r="C46" s="303"/>
      <c r="D46" s="297"/>
      <c r="E46" s="297"/>
      <c r="F46" s="297"/>
      <c r="G46" s="379"/>
    </row>
    <row r="47" spans="1:10" x14ac:dyDescent="0.25">
      <c r="A47" s="13"/>
      <c r="B47" s="296"/>
      <c r="C47" s="303"/>
      <c r="D47" s="297"/>
      <c r="E47" s="297"/>
      <c r="F47" s="297"/>
      <c r="G47" s="379"/>
    </row>
  </sheetData>
  <sheetProtection sheet="1" objects="1" scenarios="1"/>
  <mergeCells count="50">
    <mergeCell ref="F25:G25"/>
    <mergeCell ref="F26:G26"/>
    <mergeCell ref="F27:G27"/>
    <mergeCell ref="F23:G23"/>
    <mergeCell ref="B2:C2"/>
    <mergeCell ref="B3:C3"/>
    <mergeCell ref="B4:C4"/>
    <mergeCell ref="B5:C5"/>
    <mergeCell ref="B6:C6"/>
    <mergeCell ref="B27:D27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4:G24"/>
    <mergeCell ref="B21:D21"/>
    <mergeCell ref="B22:D22"/>
    <mergeCell ref="B24:D24"/>
    <mergeCell ref="B25:D25"/>
    <mergeCell ref="B26:D26"/>
    <mergeCell ref="B9:D9"/>
    <mergeCell ref="B10:D10"/>
    <mergeCell ref="B11:D11"/>
    <mergeCell ref="B12:D12"/>
    <mergeCell ref="B13:D13"/>
    <mergeCell ref="B19:D19"/>
    <mergeCell ref="B20:D20"/>
    <mergeCell ref="B14:D14"/>
    <mergeCell ref="B15:D15"/>
    <mergeCell ref="B16:D16"/>
    <mergeCell ref="B17:D17"/>
    <mergeCell ref="B18:D18"/>
    <mergeCell ref="B31:D31"/>
    <mergeCell ref="F31:G31"/>
    <mergeCell ref="B28:D28"/>
    <mergeCell ref="F28:G28"/>
    <mergeCell ref="B29:D29"/>
    <mergeCell ref="F29:G29"/>
    <mergeCell ref="B30:D30"/>
    <mergeCell ref="F30:G30"/>
  </mergeCells>
  <hyperlinks>
    <hyperlink ref="G38" r:id="rId1" xr:uid="{CD1273B6-3009-43A6-BA96-CEBC9DC76A52}"/>
  </hyperlinks>
  <pageMargins left="0.7" right="0.7" top="0.75" bottom="0.75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5CD96406-B7CF-418B-830E-4AAD36A84BF2}">
          <x14:formula1>
            <xm:f>Data!$C$5:$C$7</xm:f>
          </x14:formula1>
          <xm:sqref>F9:G9</xm:sqref>
        </x14:dataValidation>
        <x14:dataValidation type="list" allowBlank="1" showInputMessage="1" showErrorMessage="1" xr:uid="{076447F9-AC3E-4CDA-9C6E-F80CDC403A79}">
          <x14:formula1>
            <xm:f>Data!$F$5:$F$11</xm:f>
          </x14:formula1>
          <xm:sqref>B15:D15</xm:sqref>
        </x14:dataValidation>
        <x14:dataValidation type="list" allowBlank="1" showInputMessage="1" showErrorMessage="1" xr:uid="{A5DC560B-C5A6-421A-9386-259BB99EB93E}">
          <x14:formula1>
            <xm:f>Data!$I$5:$I$8</xm:f>
          </x14:formula1>
          <xm:sqref>B16:D16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W39"/>
  <sheetViews>
    <sheetView tabSelected="1" topLeftCell="A23" zoomScaleNormal="100" workbookViewId="0">
      <selection activeCell="T17" sqref="T17"/>
    </sheetView>
  </sheetViews>
  <sheetFormatPr defaultColWidth="9.140625" defaultRowHeight="15" x14ac:dyDescent="0.25"/>
  <cols>
    <col min="1" max="1" width="17.42578125" style="170" customWidth="1"/>
    <col min="2" max="3" width="10" style="170" customWidth="1"/>
    <col min="4" max="4" width="32.28515625" style="170" customWidth="1"/>
    <col min="5" max="5" width="14.5703125" style="170" customWidth="1"/>
    <col min="6" max="6" width="10" style="170" customWidth="1"/>
    <col min="7" max="7" width="19.140625" style="170" customWidth="1"/>
    <col min="8" max="8" width="22.5703125" style="170" customWidth="1"/>
    <col min="9" max="14" width="9.140625" style="170"/>
    <col min="15" max="15" width="16.5703125" style="170" customWidth="1"/>
    <col min="16" max="16" width="7" style="170" customWidth="1"/>
    <col min="17" max="17" width="4.85546875" style="170" customWidth="1"/>
    <col min="18" max="18" width="3.28515625" style="170" customWidth="1"/>
    <col min="19" max="16384" width="9.140625" style="170"/>
  </cols>
  <sheetData>
    <row r="1" spans="1:18" x14ac:dyDescent="0.25">
      <c r="A1" s="24" t="s">
        <v>1</v>
      </c>
      <c r="B1" s="351"/>
      <c r="C1" s="351" t="str">
        <f>Oplysningsside!B2</f>
        <v/>
      </c>
      <c r="D1" s="26"/>
      <c r="E1" s="351"/>
      <c r="F1" s="351"/>
      <c r="G1" s="341" t="s">
        <v>3</v>
      </c>
      <c r="H1" s="351" t="str">
        <f>Oplysningsside!E2</f>
        <v/>
      </c>
      <c r="I1" s="369"/>
      <c r="J1" s="351"/>
      <c r="K1" s="351"/>
      <c r="L1" s="351"/>
      <c r="M1" s="341" t="s">
        <v>4</v>
      </c>
      <c r="N1" s="351"/>
      <c r="O1" s="341" t="str">
        <f>Oplysningsside!G2</f>
        <v/>
      </c>
      <c r="P1" s="351"/>
      <c r="Q1" s="351"/>
      <c r="R1" s="28"/>
    </row>
    <row r="2" spans="1:18" x14ac:dyDescent="0.25">
      <c r="A2" s="29" t="s">
        <v>68</v>
      </c>
      <c r="B2" s="352"/>
      <c r="C2" s="352" t="str">
        <f>Oplysningsside!B3</f>
        <v/>
      </c>
      <c r="D2" s="31"/>
      <c r="E2" s="352"/>
      <c r="F2" s="352"/>
      <c r="G2" s="212" t="s">
        <v>125</v>
      </c>
      <c r="H2" s="352" t="str">
        <f>Oplysningsside!E3</f>
        <v>Bi-plan</v>
      </c>
      <c r="I2" s="212"/>
      <c r="J2" s="352"/>
      <c r="K2" s="352"/>
      <c r="L2" s="352"/>
      <c r="M2" s="342" t="s">
        <v>6</v>
      </c>
      <c r="N2" s="352"/>
      <c r="O2" s="355" t="str">
        <f>Oplysningsside!G3</f>
        <v/>
      </c>
      <c r="P2" s="352"/>
      <c r="Q2" s="352"/>
      <c r="R2" s="33"/>
    </row>
    <row r="3" spans="1:18" x14ac:dyDescent="0.25">
      <c r="A3" s="34" t="s">
        <v>67</v>
      </c>
      <c r="B3" s="352"/>
      <c r="C3" s="352" t="str">
        <f>Oplysningsside!B4</f>
        <v/>
      </c>
      <c r="D3" s="31"/>
      <c r="E3" s="352"/>
      <c r="F3" s="352"/>
      <c r="G3" s="342" t="s">
        <v>5</v>
      </c>
      <c r="H3" s="352" t="str">
        <f>Oplysningsside!E4</f>
        <v/>
      </c>
      <c r="I3" s="212"/>
      <c r="J3" s="352"/>
      <c r="K3" s="352"/>
      <c r="L3" s="352"/>
      <c r="M3" s="342" t="s">
        <v>8</v>
      </c>
      <c r="N3" s="352"/>
      <c r="O3" s="342" t="str">
        <f>Oplysningsside!G4</f>
        <v/>
      </c>
      <c r="P3" s="352"/>
      <c r="Q3" s="352"/>
      <c r="R3" s="33"/>
    </row>
    <row r="4" spans="1:18" x14ac:dyDescent="0.25">
      <c r="A4" s="29" t="s">
        <v>9</v>
      </c>
      <c r="B4" s="352"/>
      <c r="C4" s="353" t="str">
        <f>Oplysningsside!B5</f>
        <v/>
      </c>
      <c r="D4" s="31"/>
      <c r="E4" s="352"/>
      <c r="F4" s="352"/>
      <c r="G4" s="342" t="s">
        <v>7</v>
      </c>
      <c r="H4" s="356" t="str">
        <f>Oplysningsside!E5</f>
        <v/>
      </c>
      <c r="I4" s="212"/>
      <c r="J4" s="352"/>
      <c r="K4" s="352"/>
      <c r="L4" s="352"/>
      <c r="M4" s="352" t="s">
        <v>11</v>
      </c>
      <c r="N4" s="352"/>
      <c r="O4" s="355" t="str">
        <f>Oplysningsside!G5</f>
        <v/>
      </c>
      <c r="P4" s="352"/>
      <c r="Q4" s="352"/>
      <c r="R4" s="33"/>
    </row>
    <row r="5" spans="1:18" x14ac:dyDescent="0.25">
      <c r="A5" s="8" t="s">
        <v>517</v>
      </c>
      <c r="B5" s="35"/>
      <c r="C5" s="358" t="str">
        <f>Oplysningsside!B6</f>
        <v/>
      </c>
      <c r="D5" s="35"/>
      <c r="E5" s="354"/>
      <c r="F5" s="354"/>
      <c r="G5" s="354" t="s">
        <v>10</v>
      </c>
      <c r="H5" s="357" t="str">
        <f>Oplysningsside!E6</f>
        <v/>
      </c>
      <c r="I5" s="370"/>
      <c r="J5" s="35"/>
      <c r="K5" s="35"/>
      <c r="L5" s="35"/>
      <c r="M5" s="35"/>
      <c r="N5" s="35"/>
      <c r="O5" s="354"/>
      <c r="P5" s="35"/>
      <c r="Q5" s="35"/>
      <c r="R5" s="36"/>
    </row>
    <row r="6" spans="1:18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</row>
    <row r="7" spans="1:18" ht="26.25" x14ac:dyDescent="0.4">
      <c r="A7" s="37" t="s">
        <v>38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40" t="s">
        <v>2</v>
      </c>
      <c r="P7" s="38"/>
      <c r="Q7" s="39"/>
      <c r="R7" s="40" t="s">
        <v>2</v>
      </c>
    </row>
    <row r="8" spans="1:18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</row>
    <row r="9" spans="1:18" ht="18.75" x14ac:dyDescent="0.3">
      <c r="A9" s="18" t="s">
        <v>136</v>
      </c>
      <c r="B9" s="293" t="s">
        <v>199</v>
      </c>
      <c r="C9" s="22"/>
      <c r="D9" s="22"/>
      <c r="E9" s="22"/>
      <c r="F9" s="22"/>
      <c r="G9" s="22"/>
      <c r="H9" s="371" t="s">
        <v>824</v>
      </c>
      <c r="I9" s="343" t="s">
        <v>39</v>
      </c>
      <c r="J9" s="19"/>
      <c r="K9" s="20"/>
      <c r="L9" s="20"/>
      <c r="M9" s="20"/>
      <c r="N9" s="20"/>
      <c r="O9" s="20"/>
      <c r="P9" s="20"/>
      <c r="Q9" s="20"/>
      <c r="R9" s="21"/>
    </row>
    <row r="10" spans="1:18" x14ac:dyDescent="0.25">
      <c r="A10" s="330"/>
      <c r="B10" s="426" t="s">
        <v>579</v>
      </c>
      <c r="C10" s="427"/>
      <c r="D10" s="427"/>
      <c r="E10" s="427"/>
      <c r="F10" s="307" t="s">
        <v>433</v>
      </c>
      <c r="G10" s="308"/>
      <c r="H10" s="58" t="str">
        <f>IF('2. Mekaniske og geometriske par'!K21="","",'2. Mekaniske og geometriske par'!K21)</f>
        <v/>
      </c>
      <c r="I10" s="423"/>
      <c r="J10" s="424"/>
      <c r="K10" s="424"/>
      <c r="L10" s="424"/>
      <c r="M10" s="424"/>
      <c r="N10" s="424"/>
      <c r="O10" s="424"/>
      <c r="P10" s="424"/>
      <c r="Q10" s="424"/>
      <c r="R10" s="425"/>
    </row>
    <row r="11" spans="1:18" x14ac:dyDescent="0.25">
      <c r="A11" s="330"/>
      <c r="B11" s="426" t="s">
        <v>578</v>
      </c>
      <c r="C11" s="427"/>
      <c r="D11" s="427"/>
      <c r="E11" s="427"/>
      <c r="F11" s="307" t="s">
        <v>433</v>
      </c>
      <c r="G11" s="308"/>
      <c r="H11" s="58" t="str">
        <f>IF('2. Mekaniske og geometriske par'!K55="","",'2. Mekaniske og geometriske par'!K55)</f>
        <v/>
      </c>
      <c r="I11" s="423"/>
      <c r="J11" s="424"/>
      <c r="K11" s="424"/>
      <c r="L11" s="424"/>
      <c r="M11" s="424"/>
      <c r="N11" s="424"/>
      <c r="O11" s="424"/>
      <c r="P11" s="424"/>
      <c r="Q11" s="424"/>
      <c r="R11" s="425"/>
    </row>
    <row r="12" spans="1:18" x14ac:dyDescent="0.25">
      <c r="A12" s="330"/>
      <c r="B12" s="426" t="s">
        <v>307</v>
      </c>
      <c r="C12" s="427"/>
      <c r="D12" s="427"/>
      <c r="E12" s="427"/>
      <c r="F12" s="307"/>
      <c r="G12" s="308"/>
      <c r="H12" s="58" t="str">
        <f>IF('2. Mekaniske og geometriske par'!K92="","",'2. Mekaniske og geometriske par'!K92)</f>
        <v/>
      </c>
      <c r="I12" s="423"/>
      <c r="J12" s="424"/>
      <c r="K12" s="424"/>
      <c r="L12" s="424"/>
      <c r="M12" s="424"/>
      <c r="N12" s="424"/>
      <c r="O12" s="424"/>
      <c r="P12" s="424"/>
      <c r="Q12" s="424"/>
      <c r="R12" s="425"/>
    </row>
    <row r="13" spans="1:18" x14ac:dyDescent="0.25">
      <c r="A13" s="330"/>
      <c r="B13" s="426" t="s">
        <v>198</v>
      </c>
      <c r="C13" s="427"/>
      <c r="D13" s="427"/>
      <c r="E13" s="427"/>
      <c r="F13" s="307"/>
      <c r="G13" s="308"/>
      <c r="H13" s="58" t="str">
        <f>IF('2. Mekaniske og geometriske par'!K124="","",'2. Mekaniske og geometriske par'!K124)</f>
        <v/>
      </c>
      <c r="I13" s="423"/>
      <c r="J13" s="424"/>
      <c r="K13" s="424"/>
      <c r="L13" s="424"/>
      <c r="M13" s="424"/>
      <c r="N13" s="424"/>
      <c r="O13" s="424"/>
      <c r="P13" s="424"/>
      <c r="Q13" s="424"/>
      <c r="R13" s="425"/>
    </row>
    <row r="14" spans="1:18" x14ac:dyDescent="0.25">
      <c r="A14" s="330"/>
      <c r="B14" s="426" t="s">
        <v>369</v>
      </c>
      <c r="C14" s="427"/>
      <c r="D14" s="427"/>
      <c r="E14" s="427"/>
      <c r="F14" s="307" t="s">
        <v>433</v>
      </c>
      <c r="G14" s="308"/>
      <c r="H14" s="58" t="str">
        <f>IF('2. Mekaniske og geometriske par'!K145="","",'2. Mekaniske og geometriske par'!K145)</f>
        <v/>
      </c>
      <c r="I14" s="423"/>
      <c r="J14" s="424"/>
      <c r="K14" s="424"/>
      <c r="L14" s="424"/>
      <c r="M14" s="424"/>
      <c r="N14" s="424"/>
      <c r="O14" s="424"/>
      <c r="P14" s="424"/>
      <c r="Q14" s="424"/>
      <c r="R14" s="425"/>
    </row>
    <row r="15" spans="1:18" x14ac:dyDescent="0.25">
      <c r="A15" s="330"/>
      <c r="B15" s="433"/>
      <c r="C15" s="434"/>
      <c r="D15" s="434"/>
      <c r="E15" s="434"/>
      <c r="F15" s="311"/>
      <c r="G15" s="312"/>
      <c r="H15" s="58"/>
      <c r="I15" s="423"/>
      <c r="J15" s="424"/>
      <c r="K15" s="424"/>
      <c r="L15" s="424"/>
      <c r="M15" s="424"/>
      <c r="N15" s="424"/>
      <c r="O15" s="424"/>
      <c r="P15" s="424"/>
      <c r="Q15" s="424"/>
      <c r="R15" s="425"/>
    </row>
    <row r="16" spans="1:18" ht="18.75" x14ac:dyDescent="0.3">
      <c r="A16" s="18" t="s">
        <v>136</v>
      </c>
      <c r="B16" s="430" t="s">
        <v>201</v>
      </c>
      <c r="C16" s="431"/>
      <c r="D16" s="431"/>
      <c r="E16" s="431"/>
      <c r="F16" s="431"/>
      <c r="G16" s="432"/>
      <c r="H16" s="371" t="s">
        <v>824</v>
      </c>
      <c r="I16" s="343" t="s">
        <v>39</v>
      </c>
      <c r="J16" s="344"/>
      <c r="K16" s="344"/>
      <c r="L16" s="344"/>
      <c r="M16" s="344"/>
      <c r="N16" s="344"/>
      <c r="O16" s="344"/>
      <c r="P16" s="344"/>
      <c r="Q16" s="344"/>
      <c r="R16" s="345"/>
    </row>
    <row r="17" spans="1:18" x14ac:dyDescent="0.25">
      <c r="A17" s="330"/>
      <c r="B17" s="426" t="s">
        <v>202</v>
      </c>
      <c r="C17" s="427"/>
      <c r="D17" s="427"/>
      <c r="E17" s="427"/>
      <c r="F17" s="307"/>
      <c r="G17" s="308"/>
      <c r="H17" s="58" t="str">
        <f>IF('3. Røntgenrør og generator'!K27="","",'3. Røntgenrør og generator'!K27)</f>
        <v/>
      </c>
      <c r="I17" s="423"/>
      <c r="J17" s="424"/>
      <c r="K17" s="424"/>
      <c r="L17" s="424"/>
      <c r="M17" s="424"/>
      <c r="N17" s="424"/>
      <c r="O17" s="424"/>
      <c r="P17" s="424"/>
      <c r="Q17" s="424"/>
      <c r="R17" s="425"/>
    </row>
    <row r="18" spans="1:18" x14ac:dyDescent="0.25">
      <c r="A18" s="330"/>
      <c r="B18" s="426" t="s">
        <v>425</v>
      </c>
      <c r="C18" s="427"/>
      <c r="D18" s="427"/>
      <c r="E18" s="427"/>
      <c r="F18" s="307" t="s">
        <v>433</v>
      </c>
      <c r="G18" s="308"/>
      <c r="H18" s="58" t="str">
        <f>IF('3. Røntgenrør og generator'!K60="","",'3. Røntgenrør og generator'!K60)</f>
        <v/>
      </c>
      <c r="I18" s="423"/>
      <c r="J18" s="424"/>
      <c r="K18" s="424"/>
      <c r="L18" s="424"/>
      <c r="M18" s="424"/>
      <c r="N18" s="424"/>
      <c r="O18" s="424"/>
      <c r="P18" s="424"/>
      <c r="Q18" s="424"/>
      <c r="R18" s="425"/>
    </row>
    <row r="19" spans="1:18" x14ac:dyDescent="0.25">
      <c r="A19" s="330"/>
      <c r="B19" s="426"/>
      <c r="C19" s="427"/>
      <c r="D19" s="427"/>
      <c r="E19" s="427"/>
      <c r="F19" s="307"/>
      <c r="G19" s="308"/>
      <c r="H19" s="58"/>
      <c r="I19" s="423"/>
      <c r="J19" s="424"/>
      <c r="K19" s="424"/>
      <c r="L19" s="424"/>
      <c r="M19" s="424"/>
      <c r="N19" s="424"/>
      <c r="O19" s="424"/>
      <c r="P19" s="424"/>
      <c r="Q19" s="424"/>
      <c r="R19" s="425"/>
    </row>
    <row r="20" spans="1:18" ht="18.75" x14ac:dyDescent="0.3">
      <c r="A20" s="18" t="s">
        <v>136</v>
      </c>
      <c r="B20" s="430" t="s">
        <v>462</v>
      </c>
      <c r="C20" s="431"/>
      <c r="D20" s="431"/>
      <c r="E20" s="431"/>
      <c r="F20" s="431"/>
      <c r="G20" s="432"/>
      <c r="H20" s="371" t="s">
        <v>824</v>
      </c>
      <c r="I20" s="343" t="s">
        <v>39</v>
      </c>
      <c r="J20" s="344"/>
      <c r="K20" s="344"/>
      <c r="L20" s="344"/>
      <c r="M20" s="344"/>
      <c r="N20" s="344"/>
      <c r="O20" s="344"/>
      <c r="P20" s="344"/>
      <c r="Q20" s="344"/>
      <c r="R20" s="345"/>
    </row>
    <row r="21" spans="1:18" s="44" customFormat="1" ht="18" x14ac:dyDescent="0.35">
      <c r="A21" s="330"/>
      <c r="B21" s="435" t="s">
        <v>598</v>
      </c>
      <c r="C21" s="436"/>
      <c r="D21" s="436"/>
      <c r="E21" s="436"/>
      <c r="F21" s="301"/>
      <c r="G21" s="302"/>
      <c r="H21" s="97" t="str">
        <f>IF('4. Dosis og dosishastighed'!N44="","",'4. Dosis og dosishastighed'!N44)</f>
        <v/>
      </c>
      <c r="I21" s="423"/>
      <c r="J21" s="424"/>
      <c r="K21" s="424"/>
      <c r="L21" s="424"/>
      <c r="M21" s="424"/>
      <c r="N21" s="424"/>
      <c r="O21" s="424"/>
      <c r="P21" s="424"/>
      <c r="Q21" s="424"/>
      <c r="R21" s="425"/>
    </row>
    <row r="22" spans="1:18" s="44" customFormat="1" ht="16.5" customHeight="1" x14ac:dyDescent="0.25">
      <c r="A22" s="330"/>
      <c r="B22" s="428" t="s">
        <v>467</v>
      </c>
      <c r="C22" s="429"/>
      <c r="D22" s="429"/>
      <c r="E22" s="429"/>
      <c r="F22" s="305" t="s">
        <v>433</v>
      </c>
      <c r="G22" s="306"/>
      <c r="H22" s="97" t="str">
        <f>IF('4. Dosis og dosishastighed'!N111="","",'4. Dosis og dosishastighed'!N111)</f>
        <v/>
      </c>
      <c r="I22" s="423"/>
      <c r="J22" s="424"/>
      <c r="K22" s="424"/>
      <c r="L22" s="424"/>
      <c r="M22" s="424"/>
      <c r="N22" s="424"/>
      <c r="O22" s="424"/>
      <c r="P22" s="424"/>
      <c r="Q22" s="424"/>
      <c r="R22" s="425"/>
    </row>
    <row r="23" spans="1:18" s="44" customFormat="1" x14ac:dyDescent="0.25">
      <c r="A23" s="330"/>
      <c r="B23" s="437" t="s">
        <v>599</v>
      </c>
      <c r="C23" s="438"/>
      <c r="D23" s="438"/>
      <c r="E23" s="438"/>
      <c r="F23" s="309" t="s">
        <v>433</v>
      </c>
      <c r="G23" s="310"/>
      <c r="H23" s="97" t="str">
        <f>IF('4. Dosis og dosishastighed'!N181="","",'4. Dosis og dosishastighed'!N181)</f>
        <v/>
      </c>
      <c r="I23" s="423"/>
      <c r="J23" s="424"/>
      <c r="K23" s="424"/>
      <c r="L23" s="424"/>
      <c r="M23" s="424"/>
      <c r="N23" s="424"/>
      <c r="O23" s="424"/>
      <c r="P23" s="424"/>
      <c r="Q23" s="424"/>
      <c r="R23" s="425"/>
    </row>
    <row r="24" spans="1:18" s="44" customFormat="1" x14ac:dyDescent="0.25">
      <c r="A24" s="330"/>
      <c r="B24" s="426" t="s">
        <v>475</v>
      </c>
      <c r="C24" s="427"/>
      <c r="D24" s="427"/>
      <c r="E24" s="427"/>
      <c r="F24" s="307"/>
      <c r="G24" s="308"/>
      <c r="H24" s="97" t="str">
        <f>IF('4. Dosis og dosishastighed'!L254="","",'4. Dosis og dosishastighed'!L254)</f>
        <v/>
      </c>
      <c r="I24" s="423"/>
      <c r="J24" s="424"/>
      <c r="K24" s="424"/>
      <c r="L24" s="424"/>
      <c r="M24" s="424"/>
      <c r="N24" s="424"/>
      <c r="O24" s="424"/>
      <c r="P24" s="424"/>
      <c r="Q24" s="424"/>
      <c r="R24" s="425"/>
    </row>
    <row r="25" spans="1:18" s="44" customFormat="1" x14ac:dyDescent="0.25">
      <c r="A25" s="330"/>
      <c r="B25" s="426" t="s">
        <v>426</v>
      </c>
      <c r="C25" s="427"/>
      <c r="D25" s="427"/>
      <c r="E25" s="427"/>
      <c r="F25" s="307" t="s">
        <v>433</v>
      </c>
      <c r="G25" s="308"/>
      <c r="H25" s="97" t="str">
        <f>IF('4. Dosis og dosishastighed'!L327="","",'4. Dosis og dosishastighed'!L327)</f>
        <v/>
      </c>
      <c r="I25" s="423"/>
      <c r="J25" s="424"/>
      <c r="K25" s="424"/>
      <c r="L25" s="424"/>
      <c r="M25" s="424"/>
      <c r="N25" s="424"/>
      <c r="O25" s="424"/>
      <c r="P25" s="424"/>
      <c r="Q25" s="424"/>
      <c r="R25" s="425"/>
    </row>
    <row r="26" spans="1:18" s="44" customFormat="1" x14ac:dyDescent="0.25">
      <c r="A26" s="330"/>
      <c r="B26" s="426"/>
      <c r="C26" s="427"/>
      <c r="D26" s="427"/>
      <c r="E26" s="427"/>
      <c r="F26" s="307"/>
      <c r="G26" s="308"/>
      <c r="H26" s="97"/>
      <c r="I26" s="423"/>
      <c r="J26" s="424"/>
      <c r="K26" s="424"/>
      <c r="L26" s="424"/>
      <c r="M26" s="424"/>
      <c r="N26" s="424"/>
      <c r="O26" s="424"/>
      <c r="P26" s="424"/>
      <c r="Q26" s="424"/>
      <c r="R26" s="425"/>
    </row>
    <row r="27" spans="1:18" ht="18.75" x14ac:dyDescent="0.3">
      <c r="A27" s="18" t="s">
        <v>136</v>
      </c>
      <c r="B27" s="430" t="s">
        <v>203</v>
      </c>
      <c r="C27" s="431"/>
      <c r="D27" s="431"/>
      <c r="E27" s="431"/>
      <c r="F27" s="431"/>
      <c r="G27" s="432"/>
      <c r="H27" s="371" t="s">
        <v>824</v>
      </c>
      <c r="I27" s="343" t="s">
        <v>39</v>
      </c>
      <c r="J27" s="344"/>
      <c r="K27" s="344"/>
      <c r="L27" s="344"/>
      <c r="M27" s="344"/>
      <c r="N27" s="344"/>
      <c r="O27" s="344"/>
      <c r="P27" s="344"/>
      <c r="Q27" s="344"/>
      <c r="R27" s="345"/>
    </row>
    <row r="28" spans="1:18" x14ac:dyDescent="0.25">
      <c r="A28" s="330"/>
      <c r="B28" s="428" t="s">
        <v>364</v>
      </c>
      <c r="C28" s="429"/>
      <c r="D28" s="429"/>
      <c r="E28" s="429"/>
      <c r="F28" s="305"/>
      <c r="G28" s="306"/>
      <c r="H28" s="58" t="str">
        <f>IF('5. Monitorer og billedkvalitet'!L57="","",'5. Monitorer og billedkvalitet'!L57)</f>
        <v/>
      </c>
      <c r="I28" s="423"/>
      <c r="J28" s="424"/>
      <c r="K28" s="424"/>
      <c r="L28" s="424"/>
      <c r="M28" s="424"/>
      <c r="N28" s="424"/>
      <c r="O28" s="424"/>
      <c r="P28" s="424"/>
      <c r="Q28" s="424"/>
      <c r="R28" s="425"/>
    </row>
    <row r="29" spans="1:18" x14ac:dyDescent="0.25">
      <c r="A29" s="330"/>
      <c r="B29" s="428" t="s">
        <v>204</v>
      </c>
      <c r="C29" s="429"/>
      <c r="D29" s="429"/>
      <c r="E29" s="429"/>
      <c r="F29" s="305"/>
      <c r="G29" s="306"/>
      <c r="H29" s="58" t="str">
        <f>IF('5. Monitorer og billedkvalitet'!L104="","",'5. Monitorer og billedkvalitet'!L104)</f>
        <v/>
      </c>
      <c r="I29" s="423"/>
      <c r="J29" s="424"/>
      <c r="K29" s="424"/>
      <c r="L29" s="424"/>
      <c r="M29" s="424"/>
      <c r="N29" s="424"/>
      <c r="O29" s="424"/>
      <c r="P29" s="424"/>
      <c r="Q29" s="424"/>
      <c r="R29" s="425"/>
    </row>
    <row r="30" spans="1:18" x14ac:dyDescent="0.25">
      <c r="A30" s="330"/>
      <c r="B30" s="428" t="s">
        <v>308</v>
      </c>
      <c r="C30" s="429"/>
      <c r="D30" s="429"/>
      <c r="E30" s="429"/>
      <c r="F30" s="305"/>
      <c r="G30" s="306"/>
      <c r="H30" s="58" t="str">
        <f>IF('5. Monitorer og billedkvalitet'!L156="","",'5. Monitorer og billedkvalitet'!L156)</f>
        <v/>
      </c>
      <c r="I30" s="423"/>
      <c r="J30" s="424"/>
      <c r="K30" s="424"/>
      <c r="L30" s="424"/>
      <c r="M30" s="424"/>
      <c r="N30" s="424"/>
      <c r="O30" s="424"/>
      <c r="P30" s="424"/>
      <c r="Q30" s="424"/>
      <c r="R30" s="425"/>
    </row>
    <row r="31" spans="1:18" x14ac:dyDescent="0.25">
      <c r="A31" s="330"/>
      <c r="B31" s="428" t="s">
        <v>411</v>
      </c>
      <c r="C31" s="429"/>
      <c r="D31" s="429"/>
      <c r="E31" s="429"/>
      <c r="F31" s="305"/>
      <c r="G31" s="306"/>
      <c r="H31" s="58" t="str">
        <f>IF('5. Monitorer og billedkvalitet'!L222="","",'5. Monitorer og billedkvalitet'!L222)</f>
        <v/>
      </c>
      <c r="I31" s="423"/>
      <c r="J31" s="424"/>
      <c r="K31" s="424"/>
      <c r="L31" s="424"/>
      <c r="M31" s="424"/>
      <c r="N31" s="424"/>
      <c r="O31" s="424"/>
      <c r="P31" s="424"/>
      <c r="Q31" s="424"/>
      <c r="R31" s="425"/>
    </row>
    <row r="32" spans="1:18" x14ac:dyDescent="0.25">
      <c r="A32" s="330"/>
      <c r="B32" s="428" t="s">
        <v>412</v>
      </c>
      <c r="C32" s="429"/>
      <c r="D32" s="429"/>
      <c r="E32" s="429"/>
      <c r="F32" s="305"/>
      <c r="G32" s="306"/>
      <c r="H32" s="58" t="str">
        <f>IF('5. Monitorer og billedkvalitet'!L290="","",'5. Monitorer og billedkvalitet'!L290)</f>
        <v/>
      </c>
      <c r="I32" s="423"/>
      <c r="J32" s="424"/>
      <c r="K32" s="424"/>
      <c r="L32" s="424"/>
      <c r="M32" s="424"/>
      <c r="N32" s="424"/>
      <c r="O32" s="424"/>
      <c r="P32" s="424"/>
      <c r="Q32" s="424"/>
      <c r="R32" s="425"/>
    </row>
    <row r="33" spans="1:23" x14ac:dyDescent="0.25">
      <c r="A33" s="330"/>
      <c r="B33" s="428" t="s">
        <v>367</v>
      </c>
      <c r="C33" s="429"/>
      <c r="D33" s="429"/>
      <c r="E33" s="429"/>
      <c r="F33" s="305"/>
      <c r="G33" s="306"/>
      <c r="H33" s="58" t="str">
        <f>IF('5. Monitorer og billedkvalitet'!L348="","",'5. Monitorer og billedkvalitet'!L348)</f>
        <v/>
      </c>
      <c r="I33" s="423"/>
      <c r="J33" s="424"/>
      <c r="K33" s="424"/>
      <c r="L33" s="424"/>
      <c r="M33" s="424"/>
      <c r="N33" s="424"/>
      <c r="O33" s="424"/>
      <c r="P33" s="424"/>
      <c r="Q33" s="424"/>
      <c r="R33" s="425"/>
    </row>
    <row r="34" spans="1:23" x14ac:dyDescent="0.25">
      <c r="A34" s="330"/>
      <c r="B34" s="428"/>
      <c r="C34" s="429"/>
      <c r="D34" s="429"/>
      <c r="E34" s="429"/>
      <c r="F34" s="305"/>
      <c r="G34" s="306"/>
      <c r="H34" s="13"/>
      <c r="I34" s="423"/>
      <c r="J34" s="424"/>
      <c r="K34" s="424"/>
      <c r="L34" s="424"/>
      <c r="M34" s="424"/>
      <c r="N34" s="424"/>
      <c r="O34" s="424"/>
      <c r="P34" s="424"/>
      <c r="Q34" s="424"/>
      <c r="R34" s="425"/>
    </row>
    <row r="35" spans="1:23" ht="18.75" x14ac:dyDescent="0.3">
      <c r="A35" s="18" t="s">
        <v>136</v>
      </c>
      <c r="B35" s="430" t="s">
        <v>205</v>
      </c>
      <c r="C35" s="431"/>
      <c r="D35" s="431"/>
      <c r="E35" s="431"/>
      <c r="F35" s="431"/>
      <c r="G35" s="432"/>
      <c r="H35" s="371" t="s">
        <v>824</v>
      </c>
      <c r="I35" s="343" t="s">
        <v>39</v>
      </c>
      <c r="J35" s="344"/>
      <c r="K35" s="344"/>
      <c r="L35" s="344"/>
      <c r="M35" s="344"/>
      <c r="N35" s="344"/>
      <c r="O35" s="344"/>
      <c r="P35" s="344"/>
      <c r="Q35" s="344"/>
      <c r="R35" s="345"/>
    </row>
    <row r="36" spans="1:23" x14ac:dyDescent="0.25">
      <c r="A36" s="330"/>
      <c r="B36" s="439" t="s">
        <v>206</v>
      </c>
      <c r="C36" s="440"/>
      <c r="D36" s="440"/>
      <c r="E36" s="440"/>
      <c r="F36" s="303"/>
      <c r="G36" s="304"/>
      <c r="H36" s="13"/>
      <c r="I36" s="423"/>
      <c r="J36" s="424"/>
      <c r="K36" s="424"/>
      <c r="L36" s="424"/>
      <c r="M36" s="424"/>
      <c r="N36" s="424"/>
      <c r="O36" s="424"/>
      <c r="P36" s="424"/>
      <c r="Q36" s="424"/>
      <c r="R36" s="425"/>
      <c r="U36" s="192"/>
      <c r="V36" s="192"/>
      <c r="W36" s="192"/>
    </row>
    <row r="37" spans="1:23" x14ac:dyDescent="0.25">
      <c r="A37" s="330"/>
      <c r="B37" s="435" t="s">
        <v>207</v>
      </c>
      <c r="C37" s="436"/>
      <c r="D37" s="436"/>
      <c r="E37" s="436"/>
      <c r="F37" s="301"/>
      <c r="G37" s="302"/>
      <c r="H37" s="13"/>
      <c r="I37" s="423"/>
      <c r="J37" s="424"/>
      <c r="K37" s="424"/>
      <c r="L37" s="424"/>
      <c r="M37" s="424"/>
      <c r="N37" s="424"/>
      <c r="O37" s="424"/>
      <c r="P37" s="424"/>
      <c r="Q37" s="424"/>
      <c r="R37" s="425"/>
      <c r="U37" s="192"/>
      <c r="V37" s="192"/>
      <c r="W37" s="192"/>
    </row>
    <row r="38" spans="1:23" x14ac:dyDescent="0.25">
      <c r="A38" s="330"/>
      <c r="B38" s="435" t="s">
        <v>549</v>
      </c>
      <c r="C38" s="436"/>
      <c r="D38" s="436"/>
      <c r="E38" s="436"/>
      <c r="F38" s="301"/>
      <c r="G38" s="302"/>
      <c r="H38" s="13"/>
      <c r="I38" s="423"/>
      <c r="J38" s="424"/>
      <c r="K38" s="424"/>
      <c r="L38" s="424"/>
      <c r="M38" s="424"/>
      <c r="N38" s="424"/>
      <c r="O38" s="424"/>
      <c r="P38" s="424"/>
      <c r="Q38" s="424"/>
      <c r="R38" s="425"/>
      <c r="U38" s="192"/>
      <c r="V38" s="192"/>
      <c r="W38" s="192"/>
    </row>
    <row r="39" spans="1:23" x14ac:dyDescent="0.25">
      <c r="A39" s="330"/>
      <c r="B39" s="439"/>
      <c r="C39" s="440"/>
      <c r="D39" s="440"/>
      <c r="E39" s="440"/>
      <c r="F39" s="303"/>
      <c r="G39" s="304"/>
      <c r="H39" s="13"/>
      <c r="I39" s="423"/>
      <c r="J39" s="424"/>
      <c r="K39" s="424"/>
      <c r="L39" s="424"/>
      <c r="M39" s="424"/>
      <c r="N39" s="424"/>
      <c r="O39" s="424"/>
      <c r="P39" s="424"/>
      <c r="Q39" s="424"/>
      <c r="R39" s="425"/>
      <c r="U39" s="192"/>
      <c r="V39" s="192"/>
      <c r="W39" s="192"/>
    </row>
  </sheetData>
  <sheetProtection sheet="1" objects="1" scenarios="1"/>
  <mergeCells count="56">
    <mergeCell ref="B39:E39"/>
    <mergeCell ref="B29:E29"/>
    <mergeCell ref="B30:E30"/>
    <mergeCell ref="B31:E31"/>
    <mergeCell ref="B32:E32"/>
    <mergeCell ref="B33:E33"/>
    <mergeCell ref="B35:G35"/>
    <mergeCell ref="B34:E34"/>
    <mergeCell ref="B36:E36"/>
    <mergeCell ref="B37:E37"/>
    <mergeCell ref="B38:E38"/>
    <mergeCell ref="B28:E28"/>
    <mergeCell ref="B18:E18"/>
    <mergeCell ref="B19:E19"/>
    <mergeCell ref="B16:G16"/>
    <mergeCell ref="B10:E10"/>
    <mergeCell ref="B11:E11"/>
    <mergeCell ref="B12:E12"/>
    <mergeCell ref="B13:E13"/>
    <mergeCell ref="B14:E14"/>
    <mergeCell ref="B15:E15"/>
    <mergeCell ref="B21:E21"/>
    <mergeCell ref="B22:E22"/>
    <mergeCell ref="B23:E23"/>
    <mergeCell ref="B20:G20"/>
    <mergeCell ref="B17:E17"/>
    <mergeCell ref="B27:G27"/>
    <mergeCell ref="B24:E24"/>
    <mergeCell ref="B25:E25"/>
    <mergeCell ref="B26:E26"/>
    <mergeCell ref="I39:R39"/>
    <mergeCell ref="I10:R10"/>
    <mergeCell ref="I11:R11"/>
    <mergeCell ref="I12:R12"/>
    <mergeCell ref="I13:R13"/>
    <mergeCell ref="I14:R14"/>
    <mergeCell ref="I15:R15"/>
    <mergeCell ref="I17:R17"/>
    <mergeCell ref="I18:R18"/>
    <mergeCell ref="I19:R19"/>
    <mergeCell ref="I21:R21"/>
    <mergeCell ref="I22:R22"/>
    <mergeCell ref="I23:R23"/>
    <mergeCell ref="I24:R24"/>
    <mergeCell ref="I25:R25"/>
    <mergeCell ref="I26:R26"/>
    <mergeCell ref="I33:R33"/>
    <mergeCell ref="I34:R34"/>
    <mergeCell ref="I36:R36"/>
    <mergeCell ref="I37:R37"/>
    <mergeCell ref="I38:R38"/>
    <mergeCell ref="I28:R28"/>
    <mergeCell ref="I29:R29"/>
    <mergeCell ref="I30:R30"/>
    <mergeCell ref="I31:R31"/>
    <mergeCell ref="I32:R32"/>
  </mergeCells>
  <conditionalFormatting sqref="A10:A15 A17:A19 A21:A26 A28:A34 A36:A39">
    <cfRule type="cellIs" dxfId="179" priority="1" operator="equal">
      <formula>"Kontakt MFE"</formula>
    </cfRule>
    <cfRule type="cellIs" dxfId="178" priority="2" operator="equal">
      <formula>"IKKE OK"</formula>
    </cfRule>
    <cfRule type="cellIs" dxfId="177" priority="3" operator="equal">
      <formula>"OK"</formula>
    </cfRule>
  </conditionalFormatting>
  <pageMargins left="0.7" right="0.7" top="0.75" bottom="0.75" header="0.3" footer="0.3"/>
  <pageSetup paperSize="9" orientation="landscape" r:id="rId1"/>
  <ignoredErrors>
    <ignoredError sqref="O4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DC71A0D-F4C3-437E-9280-4F62436F1532}">
          <x14:formula1>
            <xm:f>Data!$A$10:$A$14</xm:f>
          </x14:formula1>
          <xm:sqref>A28:A34 A11 A22 A19 A17 A24:A26</xm:sqref>
        </x14:dataValidation>
        <x14:dataValidation type="list" allowBlank="1" showInputMessage="1" showErrorMessage="1" xr:uid="{2BA2882F-84FD-4DA6-8886-F4F459D5095F}">
          <x14:formula1>
            <xm:f>Data!$I$18:$I$21</xm:f>
          </x14:formula1>
          <xm:sqref>A10 A12:A15 A18 A21 A23 A36:A39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A9443-DFE3-4167-B410-D0942E5463EB}">
  <sheetPr>
    <tabColor rgb="FF92D050"/>
  </sheetPr>
  <dimension ref="A1:S163"/>
  <sheetViews>
    <sheetView zoomScaleNormal="100" workbookViewId="0">
      <selection activeCell="H134" sqref="H134"/>
    </sheetView>
  </sheetViews>
  <sheetFormatPr defaultColWidth="9.140625" defaultRowHeight="15" x14ac:dyDescent="0.25"/>
  <cols>
    <col min="1" max="15" width="14" style="170" customWidth="1"/>
    <col min="16" max="16384" width="9.140625" style="170"/>
  </cols>
  <sheetData>
    <row r="1" spans="1:16" x14ac:dyDescent="0.25">
      <c r="A1" s="24" t="s">
        <v>1</v>
      </c>
      <c r="B1" s="25"/>
      <c r="C1" s="462" t="str">
        <f>Oplysningsside!B2</f>
        <v/>
      </c>
      <c r="D1" s="462"/>
      <c r="E1" s="462"/>
      <c r="F1" s="25"/>
      <c r="G1" s="27" t="s">
        <v>3</v>
      </c>
      <c r="H1" s="25"/>
      <c r="I1" s="420" t="str">
        <f>Oplysningsside!E2</f>
        <v/>
      </c>
      <c r="J1" s="420"/>
      <c r="K1" s="420"/>
      <c r="L1" s="27" t="s">
        <v>424</v>
      </c>
      <c r="M1" s="25"/>
      <c r="N1" s="420" t="str">
        <f>Oplysningsside!G2</f>
        <v/>
      </c>
      <c r="O1" s="467"/>
    </row>
    <row r="2" spans="1:16" x14ac:dyDescent="0.25">
      <c r="A2" s="29" t="s">
        <v>68</v>
      </c>
      <c r="B2" s="30"/>
      <c r="C2" s="463" t="str">
        <f>Oplysningsside!B3</f>
        <v/>
      </c>
      <c r="D2" s="463"/>
      <c r="E2" s="463"/>
      <c r="F2" s="30"/>
      <c r="G2" s="212" t="s">
        <v>125</v>
      </c>
      <c r="H2" s="212"/>
      <c r="I2" s="421" t="str">
        <f>Oplysningsside!E3</f>
        <v>Bi-plan</v>
      </c>
      <c r="J2" s="421"/>
      <c r="K2" s="421"/>
      <c r="L2" s="32" t="s">
        <v>6</v>
      </c>
      <c r="M2" s="30"/>
      <c r="N2" s="468" t="str">
        <f>Oplysningsside!G3</f>
        <v/>
      </c>
      <c r="O2" s="469"/>
    </row>
    <row r="3" spans="1:16" x14ac:dyDescent="0.25">
      <c r="A3" s="34" t="s">
        <v>67</v>
      </c>
      <c r="B3" s="30"/>
      <c r="C3" s="463" t="str">
        <f>Oplysningsside!B4</f>
        <v/>
      </c>
      <c r="D3" s="463"/>
      <c r="E3" s="463"/>
      <c r="F3" s="30"/>
      <c r="G3" s="32" t="s">
        <v>5</v>
      </c>
      <c r="H3" s="30"/>
      <c r="I3" s="421" t="str">
        <f>Oplysningsside!E4</f>
        <v/>
      </c>
      <c r="J3" s="421"/>
      <c r="K3" s="421"/>
      <c r="L3" s="32" t="s">
        <v>8</v>
      </c>
      <c r="M3" s="30"/>
      <c r="N3" s="421" t="str">
        <f>Oplysningsside!G4</f>
        <v/>
      </c>
      <c r="O3" s="470"/>
    </row>
    <row r="4" spans="1:16" x14ac:dyDescent="0.25">
      <c r="A4" s="29" t="s">
        <v>9</v>
      </c>
      <c r="B4" s="30"/>
      <c r="C4" s="464" t="str">
        <f>Oplysningsside!B5</f>
        <v/>
      </c>
      <c r="D4" s="464"/>
      <c r="E4" s="464"/>
      <c r="F4" s="30"/>
      <c r="G4" s="32" t="s">
        <v>7</v>
      </c>
      <c r="H4" s="30"/>
      <c r="I4" s="464" t="str">
        <f>Oplysningsside!E5</f>
        <v/>
      </c>
      <c r="J4" s="464"/>
      <c r="K4" s="464"/>
      <c r="L4" s="30" t="s">
        <v>11</v>
      </c>
      <c r="M4" s="30"/>
      <c r="N4" s="468" t="str">
        <f>Oplysningsside!G5</f>
        <v/>
      </c>
      <c r="O4" s="469"/>
    </row>
    <row r="5" spans="1:16" x14ac:dyDescent="0.25">
      <c r="A5" s="8" t="s">
        <v>517</v>
      </c>
      <c r="B5" s="35"/>
      <c r="C5" s="465" t="str">
        <f>Oplysningsside!$B$6</f>
        <v/>
      </c>
      <c r="D5" s="465"/>
      <c r="E5" s="465"/>
      <c r="F5" s="35"/>
      <c r="G5" s="9" t="s">
        <v>423</v>
      </c>
      <c r="H5" s="35"/>
      <c r="I5" s="466" t="str">
        <f>Oplysningsside!E6</f>
        <v/>
      </c>
      <c r="J5" s="466"/>
      <c r="K5" s="466"/>
      <c r="L5" s="35"/>
      <c r="M5" s="35"/>
      <c r="N5" s="465"/>
      <c r="O5" s="471"/>
    </row>
    <row r="7" spans="1:16" ht="26.25" x14ac:dyDescent="0.4">
      <c r="A7" s="37" t="s">
        <v>199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40" t="s">
        <v>2</v>
      </c>
      <c r="O7" s="38"/>
    </row>
    <row r="9" spans="1:16" ht="18.75" x14ac:dyDescent="0.3">
      <c r="A9" s="43" t="s">
        <v>208</v>
      </c>
      <c r="B9" s="45"/>
      <c r="C9" s="45"/>
      <c r="D9" s="45"/>
      <c r="E9" s="130" t="s">
        <v>433</v>
      </c>
      <c r="F9" s="45"/>
      <c r="G9" s="45"/>
      <c r="H9" s="45"/>
      <c r="I9" s="45"/>
      <c r="J9" s="45"/>
      <c r="K9" s="45"/>
      <c r="L9" s="45"/>
      <c r="M9" s="45"/>
      <c r="N9" s="45"/>
      <c r="O9" s="45"/>
      <c r="P9" s="51"/>
    </row>
    <row r="11" spans="1:16" x14ac:dyDescent="0.25">
      <c r="A11" s="46" t="s">
        <v>131</v>
      </c>
      <c r="B11" s="47"/>
      <c r="C11" s="47"/>
      <c r="D11" s="47"/>
      <c r="E11" s="47"/>
      <c r="F11" s="47"/>
      <c r="G11" s="47"/>
      <c r="H11" s="47"/>
      <c r="I11" s="47"/>
      <c r="J11" s="47"/>
      <c r="K11" s="68" t="s">
        <v>90</v>
      </c>
      <c r="L11" s="47"/>
      <c r="M11" s="47"/>
      <c r="N11" s="47"/>
      <c r="O11" s="47"/>
    </row>
    <row r="12" spans="1:16" x14ac:dyDescent="0.25">
      <c r="A12" s="48" t="s">
        <v>40</v>
      </c>
      <c r="B12" s="49" t="s">
        <v>82</v>
      </c>
      <c r="C12" s="49"/>
      <c r="D12" s="49"/>
      <c r="E12" s="49"/>
      <c r="F12" s="49"/>
      <c r="G12" s="49"/>
      <c r="H12" s="49"/>
      <c r="I12" s="49"/>
      <c r="J12" s="264"/>
      <c r="K12" s="453"/>
      <c r="L12" s="454"/>
      <c r="M12" s="454"/>
      <c r="N12" s="454"/>
      <c r="O12" s="455"/>
    </row>
    <row r="13" spans="1:16" x14ac:dyDescent="0.25">
      <c r="A13" s="50" t="s">
        <v>646</v>
      </c>
      <c r="B13" s="51" t="s">
        <v>690</v>
      </c>
      <c r="C13" s="51"/>
      <c r="D13" s="51"/>
      <c r="E13" s="51"/>
      <c r="F13" s="51"/>
      <c r="G13" s="51"/>
      <c r="H13" s="51"/>
      <c r="I13" s="51"/>
      <c r="J13" s="82"/>
      <c r="K13" s="441"/>
      <c r="L13" s="442"/>
      <c r="M13" s="442"/>
      <c r="N13" s="442"/>
      <c r="O13" s="443"/>
    </row>
    <row r="14" spans="1:16" x14ac:dyDescent="0.25">
      <c r="A14" s="50" t="s">
        <v>639</v>
      </c>
      <c r="B14" s="23" t="s">
        <v>685</v>
      </c>
      <c r="C14" s="51"/>
      <c r="D14" s="51"/>
      <c r="E14" s="51"/>
      <c r="F14" s="51"/>
      <c r="G14" s="51"/>
      <c r="H14" s="51"/>
      <c r="I14" s="51"/>
      <c r="J14" s="82"/>
      <c r="K14" s="441"/>
      <c r="L14" s="442"/>
      <c r="M14" s="442"/>
      <c r="N14" s="442"/>
      <c r="O14" s="443"/>
    </row>
    <row r="15" spans="1:16" x14ac:dyDescent="0.25">
      <c r="A15" s="50"/>
      <c r="B15" s="51" t="s">
        <v>686</v>
      </c>
      <c r="C15" s="51"/>
      <c r="D15" s="51"/>
      <c r="E15" s="51"/>
      <c r="F15" s="51"/>
      <c r="G15" s="51"/>
      <c r="H15" s="51"/>
      <c r="I15" s="51"/>
      <c r="J15" s="82"/>
      <c r="K15" s="441"/>
      <c r="L15" s="442"/>
      <c r="M15" s="442"/>
      <c r="N15" s="442"/>
      <c r="O15" s="443"/>
    </row>
    <row r="16" spans="1:16" x14ac:dyDescent="0.25">
      <c r="A16" s="50"/>
      <c r="B16" s="23" t="s">
        <v>687</v>
      </c>
      <c r="C16" s="51"/>
      <c r="D16" s="51"/>
      <c r="E16" s="51"/>
      <c r="F16" s="51"/>
      <c r="G16" s="51"/>
      <c r="H16" s="51"/>
      <c r="I16" s="51"/>
      <c r="J16" s="82"/>
      <c r="K16" s="441"/>
      <c r="L16" s="442"/>
      <c r="M16" s="442"/>
      <c r="N16" s="442"/>
      <c r="O16" s="443"/>
    </row>
    <row r="17" spans="1:16" x14ac:dyDescent="0.25">
      <c r="A17" s="50"/>
      <c r="B17" s="51" t="s">
        <v>688</v>
      </c>
      <c r="C17" s="51"/>
      <c r="D17" s="51"/>
      <c r="E17" s="51"/>
      <c r="F17" s="51"/>
      <c r="G17" s="51"/>
      <c r="H17" s="51"/>
      <c r="I17" s="51"/>
      <c r="J17" s="82"/>
      <c r="K17" s="441"/>
      <c r="L17" s="442"/>
      <c r="M17" s="442"/>
      <c r="N17" s="442"/>
      <c r="O17" s="443"/>
    </row>
    <row r="18" spans="1:16" x14ac:dyDescent="0.25">
      <c r="A18" s="50"/>
      <c r="B18" s="51" t="s">
        <v>640</v>
      </c>
      <c r="C18" s="51"/>
      <c r="D18" s="51"/>
      <c r="E18" s="51"/>
      <c r="F18" s="51"/>
      <c r="G18" s="51"/>
      <c r="H18" s="51"/>
      <c r="I18" s="51"/>
      <c r="J18" s="82"/>
      <c r="K18" s="441"/>
      <c r="L18" s="442"/>
      <c r="M18" s="442"/>
      <c r="N18" s="442"/>
      <c r="O18" s="443"/>
    </row>
    <row r="19" spans="1:16" x14ac:dyDescent="0.25">
      <c r="A19" s="50" t="s">
        <v>41</v>
      </c>
      <c r="B19" s="51" t="s">
        <v>689</v>
      </c>
      <c r="C19" s="51"/>
      <c r="D19" s="51"/>
      <c r="E19" s="51"/>
      <c r="F19" s="51"/>
      <c r="G19" s="51"/>
      <c r="H19" s="51"/>
      <c r="I19" s="51"/>
      <c r="J19" s="82"/>
      <c r="K19" s="441"/>
      <c r="L19" s="442"/>
      <c r="M19" s="442"/>
      <c r="N19" s="442"/>
      <c r="O19" s="443"/>
    </row>
    <row r="20" spans="1:16" x14ac:dyDescent="0.25">
      <c r="A20" s="52" t="s">
        <v>209</v>
      </c>
      <c r="B20" s="72" t="s">
        <v>825</v>
      </c>
      <c r="C20" s="72"/>
      <c r="D20" s="72"/>
      <c r="E20" s="72"/>
      <c r="F20" s="72"/>
      <c r="G20" s="72"/>
      <c r="H20" s="72"/>
      <c r="I20" s="72"/>
      <c r="J20" s="83"/>
      <c r="K20" s="444"/>
      <c r="L20" s="445"/>
      <c r="M20" s="445"/>
      <c r="N20" s="445"/>
      <c r="O20" s="446"/>
    </row>
    <row r="21" spans="1:16" x14ac:dyDescent="0.25">
      <c r="A21" s="50" t="s">
        <v>659</v>
      </c>
      <c r="B21" s="51" t="s">
        <v>660</v>
      </c>
      <c r="C21" s="51"/>
      <c r="D21" s="51"/>
      <c r="E21" s="51"/>
      <c r="F21" s="51"/>
      <c r="G21" s="51"/>
      <c r="H21" s="51"/>
      <c r="I21" s="51"/>
      <c r="J21" s="364" t="s">
        <v>684</v>
      </c>
      <c r="K21" s="200"/>
      <c r="L21" s="382"/>
      <c r="M21" s="382"/>
      <c r="N21" s="382"/>
      <c r="O21" s="383"/>
    </row>
    <row r="22" spans="1:16" x14ac:dyDescent="0.25">
      <c r="A22" s="52"/>
      <c r="B22" s="72" t="s">
        <v>661</v>
      </c>
      <c r="C22" s="72"/>
      <c r="D22" s="72"/>
      <c r="E22" s="72"/>
      <c r="F22" s="72"/>
      <c r="G22" s="72"/>
      <c r="H22" s="72"/>
      <c r="I22" s="72"/>
      <c r="J22" s="365" t="s">
        <v>662</v>
      </c>
      <c r="K22" s="444"/>
      <c r="L22" s="445"/>
      <c r="M22" s="445"/>
      <c r="N22" s="445"/>
      <c r="O22" s="446"/>
    </row>
    <row r="23" spans="1:16" x14ac:dyDescent="0.25">
      <c r="A23" s="17"/>
      <c r="B23" s="215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</row>
    <row r="24" spans="1:16" x14ac:dyDescent="0.25">
      <c r="A24" s="53" t="s">
        <v>132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</row>
    <row r="25" spans="1:16" x14ac:dyDescent="0.25">
      <c r="O25" s="216"/>
      <c r="P25" s="215"/>
    </row>
    <row r="26" spans="1:16" x14ac:dyDescent="0.25">
      <c r="A26" s="105"/>
      <c r="B26" s="216" t="s">
        <v>671</v>
      </c>
      <c r="C26" s="216"/>
      <c r="D26" s="216"/>
      <c r="E26" s="217"/>
      <c r="F26" s="238"/>
      <c r="H26" s="219"/>
      <c r="I26" s="51"/>
      <c r="J26" s="51"/>
      <c r="K26" s="51"/>
      <c r="L26" s="51"/>
      <c r="M26" s="51"/>
      <c r="N26" s="241"/>
      <c r="O26" s="215"/>
    </row>
    <row r="27" spans="1:16" x14ac:dyDescent="0.25">
      <c r="A27" s="134"/>
      <c r="B27" s="168"/>
      <c r="C27" s="168"/>
      <c r="D27" s="168"/>
      <c r="E27" s="232"/>
      <c r="F27" s="238"/>
      <c r="H27" s="219"/>
      <c r="I27" s="51"/>
      <c r="J27" s="51"/>
      <c r="K27" s="51"/>
      <c r="L27" s="51"/>
      <c r="M27" s="51"/>
      <c r="N27" s="241"/>
      <c r="O27" s="215"/>
    </row>
    <row r="28" spans="1:16" x14ac:dyDescent="0.25">
      <c r="A28" s="55" t="s">
        <v>42</v>
      </c>
      <c r="B28" s="55" t="s">
        <v>212</v>
      </c>
      <c r="C28" s="55" t="s">
        <v>212</v>
      </c>
      <c r="D28" s="55" t="s">
        <v>212</v>
      </c>
      <c r="E28" s="55" t="s">
        <v>136</v>
      </c>
      <c r="F28" s="55" t="s">
        <v>436</v>
      </c>
      <c r="H28" s="219"/>
      <c r="I28" s="219"/>
      <c r="J28" s="219"/>
      <c r="K28" s="219"/>
      <c r="L28" s="219"/>
      <c r="M28" s="51"/>
      <c r="N28" s="228"/>
      <c r="O28" s="219"/>
    </row>
    <row r="29" spans="1:16" x14ac:dyDescent="0.25">
      <c r="A29" s="56"/>
      <c r="B29" s="56" t="s">
        <v>611</v>
      </c>
      <c r="C29" s="56" t="s">
        <v>137</v>
      </c>
      <c r="D29" s="56" t="s">
        <v>51</v>
      </c>
      <c r="E29" s="56"/>
      <c r="F29" s="56" t="s">
        <v>439</v>
      </c>
      <c r="H29" s="219"/>
      <c r="I29" s="219"/>
      <c r="J29" s="219"/>
      <c r="K29" s="219"/>
      <c r="L29" s="219"/>
      <c r="M29" s="51"/>
      <c r="O29" s="44"/>
    </row>
    <row r="30" spans="1:16" x14ac:dyDescent="0.25">
      <c r="A30" s="56"/>
      <c r="B30" s="56" t="s">
        <v>54</v>
      </c>
      <c r="C30" s="56" t="s">
        <v>54</v>
      </c>
      <c r="D30" s="56" t="s">
        <v>52</v>
      </c>
      <c r="E30" s="57" t="s">
        <v>123</v>
      </c>
      <c r="F30" s="56"/>
      <c r="H30" s="219"/>
      <c r="I30" s="219"/>
      <c r="J30" s="219"/>
      <c r="K30" s="219"/>
      <c r="L30" s="219"/>
      <c r="M30" s="51"/>
    </row>
    <row r="31" spans="1:16" x14ac:dyDescent="0.25">
      <c r="A31" s="133">
        <v>1</v>
      </c>
      <c r="B31" s="102"/>
      <c r="C31" s="102"/>
      <c r="D31" s="220" t="str">
        <f>IF(OR(B31="",C31=""),"",ABS(B31-C31)/B31*100)</f>
        <v/>
      </c>
      <c r="E31" s="133" t="str">
        <f>IF(OR(B31="",C31=""),"",IF(D31&gt;1.5,"IKKE OK","OK"))</f>
        <v/>
      </c>
      <c r="F31" s="220" t="s">
        <v>437</v>
      </c>
      <c r="H31" s="219"/>
      <c r="I31" s="389"/>
      <c r="J31" s="389"/>
      <c r="K31" s="256"/>
      <c r="L31" s="219"/>
      <c r="M31" s="51"/>
    </row>
    <row r="32" spans="1:16" x14ac:dyDescent="0.25">
      <c r="A32" s="221">
        <v>2</v>
      </c>
      <c r="B32" s="103"/>
      <c r="C32" s="103"/>
      <c r="D32" s="120" t="str">
        <f>IF(OR(B32="",C32=""),"",ABS(B32-C32)/B32*100)</f>
        <v/>
      </c>
      <c r="E32" s="222" t="str">
        <f>IF(OR(B32="",C32=""),"",IF(D32&gt;1.5,"IKKE OK","OK"))</f>
        <v/>
      </c>
      <c r="F32" s="221" t="s">
        <v>438</v>
      </c>
      <c r="H32" s="219"/>
      <c r="I32" s="389"/>
      <c r="J32" s="389"/>
      <c r="K32" s="256"/>
      <c r="L32" s="219"/>
      <c r="M32" s="51"/>
    </row>
    <row r="33" spans="1:16" x14ac:dyDescent="0.25">
      <c r="A33" s="223">
        <v>3</v>
      </c>
      <c r="B33" s="104"/>
      <c r="C33" s="104"/>
      <c r="D33" s="127" t="str">
        <f>IF(OR(B33="",C33=""),"",ABS(B33-C33)/B33*100)</f>
        <v/>
      </c>
      <c r="E33" s="134" t="str">
        <f>IF(OR(B33="",C33=""),"",IF(D33&gt;1.5,"IKKE OK","OK"))</f>
        <v/>
      </c>
      <c r="F33" s="223"/>
      <c r="H33" s="219"/>
      <c r="I33" s="389"/>
      <c r="J33" s="389"/>
      <c r="K33" s="256"/>
      <c r="L33" s="219"/>
      <c r="M33" s="51"/>
    </row>
    <row r="36" spans="1:16" ht="18.75" x14ac:dyDescent="0.3">
      <c r="A36" s="43" t="s">
        <v>200</v>
      </c>
      <c r="B36" s="45"/>
      <c r="C36" s="45"/>
      <c r="D36" s="45"/>
      <c r="E36" s="124" t="s">
        <v>433</v>
      </c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51"/>
    </row>
    <row r="38" spans="1:16" x14ac:dyDescent="0.25">
      <c r="A38" s="46" t="s">
        <v>133</v>
      </c>
      <c r="B38" s="47"/>
      <c r="C38" s="47"/>
      <c r="D38" s="47"/>
      <c r="E38" s="47"/>
      <c r="F38" s="47"/>
      <c r="G38" s="47"/>
      <c r="H38" s="47"/>
      <c r="I38" s="47"/>
      <c r="J38" s="47"/>
      <c r="K38" s="68" t="s">
        <v>90</v>
      </c>
      <c r="L38" s="47"/>
      <c r="M38" s="47"/>
      <c r="N38" s="47"/>
      <c r="O38" s="47"/>
    </row>
    <row r="39" spans="1:16" x14ac:dyDescent="0.25">
      <c r="A39" s="48" t="s">
        <v>40</v>
      </c>
      <c r="B39" s="49" t="s">
        <v>66</v>
      </c>
      <c r="C39" s="49"/>
      <c r="D39" s="49"/>
      <c r="E39" s="49"/>
      <c r="F39" s="49"/>
      <c r="G39" s="49"/>
      <c r="H39" s="49"/>
      <c r="I39" s="49"/>
      <c r="J39" s="264"/>
      <c r="K39" s="459"/>
      <c r="L39" s="460"/>
      <c r="M39" s="460"/>
      <c r="N39" s="460"/>
      <c r="O39" s="461"/>
    </row>
    <row r="40" spans="1:16" x14ac:dyDescent="0.25">
      <c r="A40" s="50" t="s">
        <v>646</v>
      </c>
      <c r="B40" s="51" t="s">
        <v>691</v>
      </c>
      <c r="C40" s="51"/>
      <c r="D40" s="51"/>
      <c r="E40" s="51"/>
      <c r="F40" s="51"/>
      <c r="G40" s="51"/>
      <c r="H40" s="51"/>
      <c r="I40" s="51"/>
      <c r="J40" s="82"/>
      <c r="K40" s="447"/>
      <c r="L40" s="448"/>
      <c r="M40" s="448"/>
      <c r="N40" s="448"/>
      <c r="O40" s="449"/>
    </row>
    <row r="41" spans="1:16" x14ac:dyDescent="0.25">
      <c r="A41" s="50" t="s">
        <v>639</v>
      </c>
      <c r="B41" s="51" t="s">
        <v>495</v>
      </c>
      <c r="C41" s="51"/>
      <c r="D41" s="51"/>
      <c r="E41" s="51"/>
      <c r="F41" s="51"/>
      <c r="G41" s="51"/>
      <c r="H41" s="51"/>
      <c r="I41" s="51"/>
      <c r="J41" s="82"/>
      <c r="K41" s="447"/>
      <c r="L41" s="448"/>
      <c r="M41" s="448"/>
      <c r="N41" s="448"/>
      <c r="O41" s="449"/>
    </row>
    <row r="42" spans="1:16" x14ac:dyDescent="0.25">
      <c r="A42" s="50"/>
      <c r="B42" s="51" t="s">
        <v>496</v>
      </c>
      <c r="C42" s="51"/>
      <c r="D42" s="51"/>
      <c r="E42" s="51"/>
      <c r="F42" s="51"/>
      <c r="G42" s="51"/>
      <c r="H42" s="51"/>
      <c r="I42" s="51"/>
      <c r="J42" s="82"/>
      <c r="K42" s="447"/>
      <c r="L42" s="448"/>
      <c r="M42" s="448"/>
      <c r="N42" s="448"/>
      <c r="O42" s="449"/>
    </row>
    <row r="43" spans="1:16" x14ac:dyDescent="0.25">
      <c r="A43" s="50"/>
      <c r="B43" s="51" t="s">
        <v>497</v>
      </c>
      <c r="C43" s="51"/>
      <c r="D43" s="51"/>
      <c r="E43" s="51"/>
      <c r="F43" s="51"/>
      <c r="G43" s="51"/>
      <c r="H43" s="51"/>
      <c r="I43" s="51"/>
      <c r="J43" s="82"/>
      <c r="K43" s="447"/>
      <c r="L43" s="448"/>
      <c r="M43" s="448"/>
      <c r="N43" s="448"/>
      <c r="O43" s="449"/>
    </row>
    <row r="44" spans="1:16" x14ac:dyDescent="0.25">
      <c r="A44" s="50"/>
      <c r="B44" s="23" t="s">
        <v>213</v>
      </c>
      <c r="C44" s="51"/>
      <c r="D44" s="51"/>
      <c r="E44" s="51"/>
      <c r="F44" s="51"/>
      <c r="G44" s="51"/>
      <c r="H44" s="51"/>
      <c r="I44" s="51"/>
      <c r="J44" s="82"/>
      <c r="K44" s="447"/>
      <c r="L44" s="448"/>
      <c r="M44" s="448"/>
      <c r="N44" s="448"/>
      <c r="O44" s="449"/>
    </row>
    <row r="45" spans="1:16" x14ac:dyDescent="0.25">
      <c r="A45" s="50"/>
      <c r="B45" s="51" t="s">
        <v>692</v>
      </c>
      <c r="C45" s="51"/>
      <c r="D45" s="51"/>
      <c r="E45" s="51"/>
      <c r="F45" s="51"/>
      <c r="G45" s="51"/>
      <c r="H45" s="51"/>
      <c r="I45" s="51"/>
      <c r="J45" s="82"/>
      <c r="K45" s="447"/>
      <c r="L45" s="448"/>
      <c r="M45" s="448"/>
      <c r="N45" s="448"/>
      <c r="O45" s="449"/>
    </row>
    <row r="46" spans="1:16" x14ac:dyDescent="0.25">
      <c r="A46" s="50"/>
      <c r="B46" s="51" t="s">
        <v>693</v>
      </c>
      <c r="C46" s="51"/>
      <c r="D46" s="51"/>
      <c r="E46" s="51"/>
      <c r="F46" s="51"/>
      <c r="G46" s="51"/>
      <c r="H46" s="51"/>
      <c r="I46" s="51"/>
      <c r="J46" s="82"/>
      <c r="K46" s="447"/>
      <c r="L46" s="448"/>
      <c r="M46" s="448"/>
      <c r="N46" s="448"/>
      <c r="O46" s="449"/>
    </row>
    <row r="47" spans="1:16" x14ac:dyDescent="0.25">
      <c r="A47" s="50"/>
      <c r="B47" s="51" t="s">
        <v>214</v>
      </c>
      <c r="C47" s="51"/>
      <c r="D47" s="51"/>
      <c r="E47" s="51"/>
      <c r="F47" s="51"/>
      <c r="G47" s="51"/>
      <c r="H47" s="51"/>
      <c r="I47" s="51"/>
      <c r="J47" s="82"/>
      <c r="K47" s="447"/>
      <c r="L47" s="448"/>
      <c r="M47" s="448"/>
      <c r="N47" s="448"/>
      <c r="O47" s="449"/>
    </row>
    <row r="48" spans="1:16" x14ac:dyDescent="0.25">
      <c r="A48" s="50"/>
      <c r="B48" s="23" t="s">
        <v>519</v>
      </c>
      <c r="C48" s="51"/>
      <c r="D48" s="51"/>
      <c r="E48" s="51"/>
      <c r="F48" s="51"/>
      <c r="G48" s="51"/>
      <c r="H48" s="51"/>
      <c r="I48" s="51"/>
      <c r="J48" s="82"/>
      <c r="K48" s="447"/>
      <c r="L48" s="448"/>
      <c r="M48" s="448"/>
      <c r="N48" s="448"/>
      <c r="O48" s="449"/>
    </row>
    <row r="49" spans="1:19" x14ac:dyDescent="0.25">
      <c r="A49" s="50"/>
      <c r="B49" s="51" t="s">
        <v>692</v>
      </c>
      <c r="C49" s="51"/>
      <c r="D49" s="51"/>
      <c r="E49" s="51"/>
      <c r="F49" s="51"/>
      <c r="G49" s="51"/>
      <c r="H49" s="51"/>
      <c r="I49" s="51"/>
      <c r="J49" s="82"/>
      <c r="K49" s="447"/>
      <c r="L49" s="448"/>
      <c r="M49" s="448"/>
      <c r="N49" s="448"/>
      <c r="O49" s="449"/>
    </row>
    <row r="50" spans="1:19" x14ac:dyDescent="0.25">
      <c r="A50" s="50"/>
      <c r="B50" s="51" t="s">
        <v>694</v>
      </c>
      <c r="C50" s="51"/>
      <c r="D50" s="51"/>
      <c r="E50" s="51"/>
      <c r="F50" s="51"/>
      <c r="G50" s="51"/>
      <c r="H50" s="51"/>
      <c r="I50" s="51"/>
      <c r="J50" s="82"/>
      <c r="K50" s="447"/>
      <c r="L50" s="448"/>
      <c r="M50" s="448"/>
      <c r="N50" s="448"/>
      <c r="O50" s="449"/>
    </row>
    <row r="51" spans="1:19" x14ac:dyDescent="0.25">
      <c r="A51" s="50"/>
      <c r="B51" s="51" t="s">
        <v>695</v>
      </c>
      <c r="C51" s="51"/>
      <c r="D51" s="51"/>
      <c r="E51" s="51"/>
      <c r="F51" s="51"/>
      <c r="G51" s="51"/>
      <c r="H51" s="51"/>
      <c r="I51" s="51"/>
      <c r="J51" s="82"/>
      <c r="K51" s="447"/>
      <c r="L51" s="448"/>
      <c r="M51" s="448"/>
      <c r="N51" s="448"/>
      <c r="O51" s="449"/>
    </row>
    <row r="52" spans="1:19" x14ac:dyDescent="0.25">
      <c r="A52" s="50"/>
      <c r="B52" s="51" t="s">
        <v>215</v>
      </c>
      <c r="C52" s="51"/>
      <c r="D52" s="51"/>
      <c r="E52" s="51"/>
      <c r="F52" s="51"/>
      <c r="G52" s="51"/>
      <c r="H52" s="51"/>
      <c r="I52" s="51"/>
      <c r="J52" s="82"/>
      <c r="K52" s="447"/>
      <c r="L52" s="448"/>
      <c r="M52" s="448"/>
      <c r="N52" s="448"/>
      <c r="O52" s="449"/>
    </row>
    <row r="53" spans="1:19" x14ac:dyDescent="0.25">
      <c r="A53" s="50" t="s">
        <v>41</v>
      </c>
      <c r="B53" s="51" t="s">
        <v>696</v>
      </c>
      <c r="C53" s="51"/>
      <c r="D53" s="51"/>
      <c r="E53" s="51"/>
      <c r="F53" s="51"/>
      <c r="G53" s="51"/>
      <c r="H53" s="51"/>
      <c r="I53" s="51"/>
      <c r="J53" s="82"/>
      <c r="K53" s="447"/>
      <c r="L53" s="448"/>
      <c r="M53" s="448"/>
      <c r="N53" s="448"/>
      <c r="O53" s="449"/>
    </row>
    <row r="54" spans="1:19" x14ac:dyDescent="0.25">
      <c r="A54" s="52" t="s">
        <v>209</v>
      </c>
      <c r="B54" s="72" t="s">
        <v>641</v>
      </c>
      <c r="C54" s="72"/>
      <c r="D54" s="72"/>
      <c r="E54" s="72"/>
      <c r="F54" s="72"/>
      <c r="G54" s="72"/>
      <c r="H54" s="72"/>
      <c r="I54" s="72"/>
      <c r="J54" s="83"/>
      <c r="K54" s="450"/>
      <c r="L54" s="451"/>
      <c r="M54" s="451"/>
      <c r="N54" s="451"/>
      <c r="O54" s="452"/>
    </row>
    <row r="55" spans="1:19" x14ac:dyDescent="0.25">
      <c r="A55" s="240" t="s">
        <v>659</v>
      </c>
      <c r="B55" s="216" t="s">
        <v>660</v>
      </c>
      <c r="C55" s="49"/>
      <c r="D55" s="49"/>
      <c r="E55" s="49"/>
      <c r="F55" s="49"/>
      <c r="G55" s="49"/>
      <c r="H55" s="49"/>
      <c r="I55" s="49"/>
      <c r="J55" s="372" t="s">
        <v>684</v>
      </c>
      <c r="K55" s="200"/>
      <c r="L55" s="380"/>
      <c r="M55" s="380"/>
      <c r="N55" s="380"/>
      <c r="O55" s="381"/>
    </row>
    <row r="56" spans="1:19" x14ac:dyDescent="0.25">
      <c r="A56" s="242"/>
      <c r="B56" s="168" t="s">
        <v>661</v>
      </c>
      <c r="C56" s="72"/>
      <c r="D56" s="72"/>
      <c r="E56" s="72"/>
      <c r="F56" s="72"/>
      <c r="G56" s="72"/>
      <c r="H56" s="72"/>
      <c r="I56" s="72"/>
      <c r="J56" s="365" t="s">
        <v>662</v>
      </c>
      <c r="K56" s="456"/>
      <c r="L56" s="457"/>
      <c r="M56" s="457"/>
      <c r="N56" s="457"/>
      <c r="O56" s="458"/>
    </row>
    <row r="57" spans="1:19" x14ac:dyDescent="0.25">
      <c r="A57" s="17"/>
      <c r="B57" s="215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</row>
    <row r="58" spans="1:19" x14ac:dyDescent="0.25">
      <c r="A58" s="53" t="s">
        <v>140</v>
      </c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</row>
    <row r="59" spans="1:19" x14ac:dyDescent="0.25">
      <c r="O59" s="216"/>
      <c r="P59" s="215"/>
    </row>
    <row r="60" spans="1:19" x14ac:dyDescent="0.25">
      <c r="A60" s="102"/>
      <c r="B60" s="224" t="s">
        <v>216</v>
      </c>
      <c r="C60" s="49"/>
      <c r="D60" s="49"/>
      <c r="E60" s="217"/>
      <c r="F60" s="102"/>
      <c r="G60" s="224" t="s">
        <v>216</v>
      </c>
      <c r="H60" s="49"/>
      <c r="I60" s="49"/>
      <c r="J60" s="217"/>
      <c r="K60" s="51"/>
      <c r="L60" s="219"/>
      <c r="M60" s="225"/>
      <c r="N60" s="51"/>
      <c r="O60" s="51"/>
    </row>
    <row r="61" spans="1:19" x14ac:dyDescent="0.25">
      <c r="A61" s="103"/>
      <c r="B61" s="225" t="s">
        <v>431</v>
      </c>
      <c r="C61" s="51"/>
      <c r="D61" s="51"/>
      <c r="E61" s="226"/>
      <c r="F61" s="103"/>
      <c r="G61" s="225" t="s">
        <v>431</v>
      </c>
      <c r="H61" s="51"/>
      <c r="I61" s="51"/>
      <c r="J61" s="226"/>
      <c r="K61" s="51"/>
      <c r="L61" s="219"/>
      <c r="M61" s="225"/>
      <c r="N61" s="51"/>
      <c r="O61" s="51"/>
    </row>
    <row r="62" spans="1:19" x14ac:dyDescent="0.25">
      <c r="A62" s="127" t="s">
        <v>437</v>
      </c>
      <c r="B62" s="227" t="s">
        <v>670</v>
      </c>
      <c r="C62" s="125"/>
      <c r="D62" s="125"/>
      <c r="E62" s="126"/>
      <c r="F62" s="120" t="s">
        <v>438</v>
      </c>
      <c r="G62" s="225" t="s">
        <v>670</v>
      </c>
      <c r="H62" s="51"/>
      <c r="I62" s="51"/>
      <c r="J62" s="226"/>
      <c r="K62" s="51"/>
      <c r="L62" s="219"/>
      <c r="M62" s="213"/>
      <c r="N62" s="51"/>
      <c r="O62" s="51"/>
    </row>
    <row r="63" spans="1:19" x14ac:dyDescent="0.25">
      <c r="A63" s="55" t="s">
        <v>42</v>
      </c>
      <c r="B63" s="55" t="s">
        <v>84</v>
      </c>
      <c r="C63" s="55" t="s">
        <v>85</v>
      </c>
      <c r="D63" s="55" t="s">
        <v>217</v>
      </c>
      <c r="E63" s="55" t="s">
        <v>136</v>
      </c>
      <c r="F63" s="55" t="s">
        <v>42</v>
      </c>
      <c r="G63" s="55" t="s">
        <v>84</v>
      </c>
      <c r="H63" s="55" t="s">
        <v>85</v>
      </c>
      <c r="I63" s="55" t="s">
        <v>217</v>
      </c>
      <c r="J63" s="55" t="s">
        <v>136</v>
      </c>
      <c r="L63" s="219"/>
      <c r="M63" s="213"/>
      <c r="N63" s="219"/>
      <c r="O63" s="219"/>
    </row>
    <row r="64" spans="1:19" x14ac:dyDescent="0.25">
      <c r="A64" s="56"/>
      <c r="B64" s="56" t="str">
        <f>IF(OR($A$60="",$A$61=""),"",IF($A$61="rektangulær","kant/diagonal","diameter"))</f>
        <v/>
      </c>
      <c r="C64" s="56" t="str">
        <f>IF(OR($A$60="",$A$61=""),"",IF($A$61="rektangulær","kant/diagonal","diameter"))</f>
        <v/>
      </c>
      <c r="D64" s="56" t="s">
        <v>212</v>
      </c>
      <c r="E64" s="56"/>
      <c r="F64" s="56"/>
      <c r="G64" s="56" t="str">
        <f>IF(OR($F$60="",$F$61=""),"",IF($F$61="rektangulær","kant/diagonal","diameter"))</f>
        <v/>
      </c>
      <c r="H64" s="56" t="str">
        <f>IF(OR($F$60="",$F$61=""),"",IF($F$61="rektangulær","kant/diagonal","diameter"))</f>
        <v/>
      </c>
      <c r="I64" s="56" t="s">
        <v>212</v>
      </c>
      <c r="J64" s="56"/>
      <c r="L64" s="214"/>
      <c r="M64" s="213"/>
      <c r="N64" s="44"/>
      <c r="O64" s="472"/>
      <c r="P64" s="472"/>
      <c r="Q64" s="472"/>
      <c r="R64" s="472"/>
      <c r="S64" s="472"/>
    </row>
    <row r="65" spans="1:16" x14ac:dyDescent="0.25">
      <c r="A65" s="57"/>
      <c r="B65" s="57" t="s">
        <v>54</v>
      </c>
      <c r="C65" s="57" t="s">
        <v>54</v>
      </c>
      <c r="D65" s="57" t="s">
        <v>52</v>
      </c>
      <c r="E65" s="57" t="s">
        <v>432</v>
      </c>
      <c r="F65" s="56"/>
      <c r="G65" s="56" t="s">
        <v>54</v>
      </c>
      <c r="H65" s="56" t="s">
        <v>54</v>
      </c>
      <c r="I65" s="56" t="s">
        <v>52</v>
      </c>
      <c r="J65" s="57" t="s">
        <v>432</v>
      </c>
      <c r="M65" s="213"/>
    </row>
    <row r="66" spans="1:16" x14ac:dyDescent="0.25">
      <c r="A66" s="133">
        <v>1</v>
      </c>
      <c r="B66" s="102"/>
      <c r="C66" s="102"/>
      <c r="D66" s="220" t="str">
        <f>IF(OR($A$60="",B66="",C66=""),"",ABS(C66-B66)/$A$60*100)</f>
        <v/>
      </c>
      <c r="E66" s="133" t="str">
        <f>IF(OR(B66="",C66="",$A$60=""),"",IF(D66&gt;2,"Kontakt MFE","OK"))</f>
        <v/>
      </c>
      <c r="F66" s="133">
        <v>1</v>
      </c>
      <c r="G66" s="102"/>
      <c r="H66" s="102"/>
      <c r="I66" s="220" t="str">
        <f>IF(OR($F$60="",G66="",H66=""),"",ABS(H66-G66)/$F$60*100)</f>
        <v/>
      </c>
      <c r="J66" s="133" t="str">
        <f>IF(OR(G66="",H66="",$F$60=""),"",IF(I66&gt;2,"Kontakt MFE","OK"))</f>
        <v/>
      </c>
      <c r="M66" s="213"/>
    </row>
    <row r="67" spans="1:16" x14ac:dyDescent="0.25">
      <c r="A67" s="222">
        <v>2</v>
      </c>
      <c r="B67" s="103"/>
      <c r="C67" s="103"/>
      <c r="D67" s="120" t="str">
        <f>IF(OR($A$60="",B67="",C67=""),"",ABS(C67-B67)/$A$60*100)</f>
        <v/>
      </c>
      <c r="E67" s="222" t="str">
        <f t="shared" ref="E67:E70" si="0">IF(OR(B67="",C67="",$A$60=""),"",IF(D67&gt;2,"Kontakt MFE","OK"))</f>
        <v/>
      </c>
      <c r="F67" s="222">
        <v>2</v>
      </c>
      <c r="G67" s="103"/>
      <c r="H67" s="103"/>
      <c r="I67" s="120" t="str">
        <f t="shared" ref="I67:I70" si="1">IF(OR($F$60="",G67="",H67=""),"",ABS(H67-G67)/$F$60*100)</f>
        <v/>
      </c>
      <c r="J67" s="222" t="str">
        <f t="shared" ref="J67:J70" si="2">IF(OR(G67="",H67="",$F$60=""),"",IF(I67&gt;2,"Kontakt MFE","OK"))</f>
        <v/>
      </c>
      <c r="M67" s="213"/>
    </row>
    <row r="68" spans="1:16" x14ac:dyDescent="0.25">
      <c r="A68" s="222">
        <v>3</v>
      </c>
      <c r="B68" s="103"/>
      <c r="C68" s="103"/>
      <c r="D68" s="120" t="str">
        <f>IF(OR($A$60="",B68="",C68=""),"",ABS(C68-B68)/$A$60*100)</f>
        <v/>
      </c>
      <c r="E68" s="222" t="str">
        <f t="shared" si="0"/>
        <v/>
      </c>
      <c r="F68" s="222">
        <v>3</v>
      </c>
      <c r="G68" s="103"/>
      <c r="H68" s="103"/>
      <c r="I68" s="120" t="str">
        <f t="shared" si="1"/>
        <v/>
      </c>
      <c r="J68" s="222" t="str">
        <f t="shared" si="2"/>
        <v/>
      </c>
      <c r="M68" s="213"/>
    </row>
    <row r="69" spans="1:16" x14ac:dyDescent="0.25">
      <c r="A69" s="222">
        <v>4</v>
      </c>
      <c r="B69" s="103"/>
      <c r="C69" s="103"/>
      <c r="D69" s="120" t="str">
        <f>IF(OR($A$60="",B69="",C69=""),"",ABS(C69-B69)/$A$60*100)</f>
        <v/>
      </c>
      <c r="E69" s="222" t="str">
        <f t="shared" si="0"/>
        <v/>
      </c>
      <c r="F69" s="222">
        <v>4</v>
      </c>
      <c r="G69" s="103"/>
      <c r="H69" s="103"/>
      <c r="I69" s="120" t="str">
        <f t="shared" si="1"/>
        <v/>
      </c>
      <c r="J69" s="222" t="str">
        <f t="shared" si="2"/>
        <v/>
      </c>
      <c r="M69" s="228"/>
    </row>
    <row r="70" spans="1:16" x14ac:dyDescent="0.25">
      <c r="A70" s="134">
        <v>5</v>
      </c>
      <c r="B70" s="104"/>
      <c r="C70" s="104"/>
      <c r="D70" s="127" t="str">
        <f>IF(OR($A$60="",B70="",C70=""),"",ABS(C70-B70)/$A$60*100)</f>
        <v/>
      </c>
      <c r="E70" s="134" t="str">
        <f t="shared" si="0"/>
        <v/>
      </c>
      <c r="F70" s="134">
        <v>5</v>
      </c>
      <c r="G70" s="104"/>
      <c r="H70" s="104"/>
      <c r="I70" s="127" t="str">
        <f t="shared" si="1"/>
        <v/>
      </c>
      <c r="J70" s="134" t="str">
        <f t="shared" si="2"/>
        <v/>
      </c>
      <c r="M70" s="218"/>
    </row>
    <row r="73" spans="1:16" ht="18.75" x14ac:dyDescent="0.3">
      <c r="A73" s="43" t="s">
        <v>307</v>
      </c>
      <c r="B73" s="45"/>
      <c r="C73" s="45"/>
      <c r="D73" s="45"/>
      <c r="E73" s="43" t="s">
        <v>632</v>
      </c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51"/>
    </row>
    <row r="75" spans="1:16" x14ac:dyDescent="0.25">
      <c r="A75" s="46" t="s">
        <v>141</v>
      </c>
      <c r="B75" s="47"/>
      <c r="C75" s="47"/>
      <c r="D75" s="47"/>
      <c r="E75" s="47"/>
      <c r="F75" s="47"/>
      <c r="G75" s="47"/>
      <c r="H75" s="47"/>
      <c r="I75" s="47"/>
      <c r="J75" s="47"/>
      <c r="K75" s="68" t="s">
        <v>90</v>
      </c>
      <c r="L75" s="47"/>
      <c r="M75" s="47"/>
      <c r="N75" s="47"/>
      <c r="O75" s="47"/>
    </row>
    <row r="76" spans="1:16" x14ac:dyDescent="0.25">
      <c r="A76" s="48" t="s">
        <v>40</v>
      </c>
      <c r="B76" s="49" t="s">
        <v>66</v>
      </c>
      <c r="C76" s="49"/>
      <c r="D76" s="49"/>
      <c r="E76" s="49"/>
      <c r="F76" s="49"/>
      <c r="G76" s="49"/>
      <c r="H76" s="49"/>
      <c r="I76" s="49"/>
      <c r="J76" s="264"/>
      <c r="K76" s="453"/>
      <c r="L76" s="454"/>
      <c r="M76" s="454"/>
      <c r="N76" s="454"/>
      <c r="O76" s="455"/>
    </row>
    <row r="77" spans="1:16" x14ac:dyDescent="0.25">
      <c r="A77" s="50" t="s">
        <v>646</v>
      </c>
      <c r="B77" s="17" t="s">
        <v>697</v>
      </c>
      <c r="C77" s="51"/>
      <c r="D77" s="51"/>
      <c r="E77" s="51"/>
      <c r="F77" s="51"/>
      <c r="G77" s="51"/>
      <c r="H77" s="51"/>
      <c r="I77" s="51"/>
      <c r="J77" s="82"/>
      <c r="K77" s="441"/>
      <c r="L77" s="442"/>
      <c r="M77" s="442"/>
      <c r="N77" s="442"/>
      <c r="O77" s="443"/>
    </row>
    <row r="78" spans="1:16" x14ac:dyDescent="0.25">
      <c r="A78" s="50" t="s">
        <v>639</v>
      </c>
      <c r="B78" s="17" t="s">
        <v>520</v>
      </c>
      <c r="C78" s="51"/>
      <c r="D78" s="51"/>
      <c r="E78" s="51"/>
      <c r="F78" s="51"/>
      <c r="G78" s="51"/>
      <c r="H78" s="51"/>
      <c r="I78" s="51"/>
      <c r="J78" s="82"/>
      <c r="K78" s="441"/>
      <c r="L78" s="442"/>
      <c r="M78" s="442"/>
      <c r="N78" s="442"/>
      <c r="O78" s="443"/>
    </row>
    <row r="79" spans="1:16" x14ac:dyDescent="0.25">
      <c r="A79" s="50"/>
      <c r="B79" s="17" t="s">
        <v>698</v>
      </c>
      <c r="C79" s="51"/>
      <c r="D79" s="51"/>
      <c r="E79" s="51"/>
      <c r="F79" s="51"/>
      <c r="G79" s="51"/>
      <c r="H79" s="51"/>
      <c r="I79" s="51"/>
      <c r="J79" s="82"/>
      <c r="K79" s="441"/>
      <c r="L79" s="442"/>
      <c r="M79" s="442"/>
      <c r="N79" s="442"/>
      <c r="O79" s="443"/>
    </row>
    <row r="80" spans="1:16" x14ac:dyDescent="0.25">
      <c r="A80" s="50"/>
      <c r="B80" s="17" t="s">
        <v>699</v>
      </c>
      <c r="C80" s="51"/>
      <c r="D80" s="51"/>
      <c r="E80" s="51"/>
      <c r="F80" s="51"/>
      <c r="G80" s="51"/>
      <c r="H80" s="51"/>
      <c r="I80" s="51"/>
      <c r="J80" s="82"/>
      <c r="K80" s="441"/>
      <c r="L80" s="442"/>
      <c r="M80" s="442"/>
      <c r="N80" s="442"/>
      <c r="O80" s="443"/>
    </row>
    <row r="81" spans="1:16" x14ac:dyDescent="0.25">
      <c r="A81" s="50"/>
      <c r="B81" s="17" t="s">
        <v>700</v>
      </c>
      <c r="C81" s="51"/>
      <c r="D81" s="51"/>
      <c r="E81" s="51"/>
      <c r="F81" s="51"/>
      <c r="G81" s="51"/>
      <c r="H81" s="51"/>
      <c r="I81" s="51"/>
      <c r="J81" s="82"/>
      <c r="K81" s="441"/>
      <c r="L81" s="442"/>
      <c r="M81" s="442"/>
      <c r="N81" s="442"/>
      <c r="O81" s="443"/>
    </row>
    <row r="82" spans="1:16" x14ac:dyDescent="0.25">
      <c r="A82" s="50"/>
      <c r="B82" s="17" t="s">
        <v>701</v>
      </c>
      <c r="C82" s="51"/>
      <c r="D82" s="51"/>
      <c r="E82" s="51"/>
      <c r="F82" s="51"/>
      <c r="G82" s="51"/>
      <c r="H82" s="51"/>
      <c r="I82" s="51"/>
      <c r="J82" s="82"/>
      <c r="K82" s="441"/>
      <c r="L82" s="442"/>
      <c r="M82" s="442"/>
      <c r="N82" s="442"/>
      <c r="O82" s="443"/>
    </row>
    <row r="83" spans="1:16" x14ac:dyDescent="0.25">
      <c r="A83" s="50"/>
      <c r="B83" s="17" t="s">
        <v>459</v>
      </c>
      <c r="C83" s="51"/>
      <c r="D83" s="51"/>
      <c r="E83" s="51"/>
      <c r="F83" s="51"/>
      <c r="G83" s="51"/>
      <c r="H83" s="51"/>
      <c r="I83" s="51"/>
      <c r="J83" s="82"/>
      <c r="K83" s="441"/>
      <c r="L83" s="442"/>
      <c r="M83" s="442"/>
      <c r="N83" s="442"/>
      <c r="O83" s="443"/>
    </row>
    <row r="84" spans="1:16" x14ac:dyDescent="0.25">
      <c r="A84" s="50"/>
      <c r="B84" s="17" t="s">
        <v>702</v>
      </c>
      <c r="C84" s="51"/>
      <c r="D84" s="51"/>
      <c r="E84" s="51"/>
      <c r="F84" s="51"/>
      <c r="G84" s="51"/>
      <c r="H84" s="51"/>
      <c r="I84" s="51"/>
      <c r="J84" s="82"/>
      <c r="K84" s="441"/>
      <c r="L84" s="442"/>
      <c r="M84" s="442"/>
      <c r="N84" s="442"/>
      <c r="O84" s="443"/>
    </row>
    <row r="85" spans="1:16" x14ac:dyDescent="0.25">
      <c r="A85" s="50"/>
      <c r="B85" s="17" t="s">
        <v>703</v>
      </c>
      <c r="C85" s="51"/>
      <c r="D85" s="51"/>
      <c r="E85" s="51"/>
      <c r="F85" s="51"/>
      <c r="G85" s="51"/>
      <c r="H85" s="51"/>
      <c r="I85" s="51"/>
      <c r="J85" s="82"/>
      <c r="K85" s="441"/>
      <c r="L85" s="442"/>
      <c r="M85" s="442"/>
      <c r="N85" s="442"/>
      <c r="O85" s="443"/>
    </row>
    <row r="86" spans="1:16" x14ac:dyDescent="0.25">
      <c r="A86" s="50"/>
      <c r="B86" s="17" t="s">
        <v>521</v>
      </c>
      <c r="C86" s="51"/>
      <c r="D86" s="51"/>
      <c r="E86" s="51"/>
      <c r="F86" s="51"/>
      <c r="G86" s="51"/>
      <c r="H86" s="51"/>
      <c r="I86" s="51"/>
      <c r="J86" s="82"/>
      <c r="K86" s="441"/>
      <c r="L86" s="442"/>
      <c r="M86" s="442"/>
      <c r="N86" s="442"/>
      <c r="O86" s="443"/>
    </row>
    <row r="87" spans="1:16" x14ac:dyDescent="0.25">
      <c r="A87" s="50"/>
      <c r="B87" s="17" t="s">
        <v>704</v>
      </c>
      <c r="C87" s="51"/>
      <c r="D87" s="51"/>
      <c r="E87" s="51"/>
      <c r="F87" s="51"/>
      <c r="G87" s="51"/>
      <c r="H87" s="51"/>
      <c r="I87" s="51"/>
      <c r="J87" s="82"/>
      <c r="K87" s="441"/>
      <c r="L87" s="442"/>
      <c r="M87" s="442"/>
      <c r="N87" s="442"/>
      <c r="O87" s="443"/>
    </row>
    <row r="88" spans="1:16" x14ac:dyDescent="0.25">
      <c r="A88" s="50"/>
      <c r="B88" s="17" t="s">
        <v>705</v>
      </c>
      <c r="C88" s="51"/>
      <c r="D88" s="51"/>
      <c r="E88" s="51"/>
      <c r="F88" s="51"/>
      <c r="G88" s="51"/>
      <c r="H88" s="51"/>
      <c r="I88" s="51"/>
      <c r="J88" s="82"/>
      <c r="K88" s="441"/>
      <c r="L88" s="442"/>
      <c r="M88" s="442"/>
      <c r="N88" s="442"/>
      <c r="O88" s="443"/>
    </row>
    <row r="89" spans="1:16" x14ac:dyDescent="0.25">
      <c r="A89" s="50"/>
      <c r="B89" s="17" t="s">
        <v>460</v>
      </c>
      <c r="C89" s="51"/>
      <c r="D89" s="51"/>
      <c r="E89" s="51"/>
      <c r="F89" s="51"/>
      <c r="G89" s="51"/>
      <c r="H89" s="51"/>
      <c r="I89" s="51"/>
      <c r="J89" s="82"/>
      <c r="K89" s="441"/>
      <c r="L89" s="442"/>
      <c r="M89" s="442"/>
      <c r="N89" s="442"/>
      <c r="O89" s="443"/>
    </row>
    <row r="90" spans="1:16" x14ac:dyDescent="0.25">
      <c r="A90" s="50" t="s">
        <v>41</v>
      </c>
      <c r="B90" s="17" t="s">
        <v>642</v>
      </c>
      <c r="C90" s="51"/>
      <c r="D90" s="51"/>
      <c r="E90" s="51"/>
      <c r="F90" s="51"/>
      <c r="G90" s="51"/>
      <c r="H90" s="51"/>
      <c r="I90" s="51"/>
      <c r="J90" s="82"/>
      <c r="K90" s="441"/>
      <c r="L90" s="442"/>
      <c r="M90" s="442"/>
      <c r="N90" s="442"/>
      <c r="O90" s="443"/>
    </row>
    <row r="91" spans="1:16" x14ac:dyDescent="0.25">
      <c r="A91" s="52"/>
      <c r="B91" s="401" t="s">
        <v>498</v>
      </c>
      <c r="C91" s="72"/>
      <c r="D91" s="72"/>
      <c r="E91" s="72"/>
      <c r="F91" s="72"/>
      <c r="G91" s="72"/>
      <c r="H91" s="72"/>
      <c r="I91" s="72"/>
      <c r="J91" s="83"/>
      <c r="K91" s="444"/>
      <c r="L91" s="445"/>
      <c r="M91" s="445"/>
      <c r="N91" s="445"/>
      <c r="O91" s="446"/>
    </row>
    <row r="92" spans="1:16" x14ac:dyDescent="0.25">
      <c r="A92" s="48" t="s">
        <v>659</v>
      </c>
      <c r="B92" s="49" t="s">
        <v>660</v>
      </c>
      <c r="C92" s="49"/>
      <c r="D92" s="49"/>
      <c r="E92" s="49"/>
      <c r="F92" s="49"/>
      <c r="G92" s="49"/>
      <c r="H92" s="49"/>
      <c r="I92" s="49"/>
      <c r="J92" s="372" t="s">
        <v>684</v>
      </c>
      <c r="K92" s="200"/>
      <c r="L92" s="382"/>
      <c r="M92" s="382"/>
      <c r="N92" s="382"/>
      <c r="O92" s="383"/>
    </row>
    <row r="93" spans="1:16" x14ac:dyDescent="0.25">
      <c r="A93" s="52"/>
      <c r="B93" s="72" t="s">
        <v>661</v>
      </c>
      <c r="C93" s="72"/>
      <c r="D93" s="72"/>
      <c r="E93" s="72"/>
      <c r="F93" s="72"/>
      <c r="G93" s="72"/>
      <c r="H93" s="72"/>
      <c r="I93" s="72"/>
      <c r="J93" s="365" t="s">
        <v>662</v>
      </c>
      <c r="K93" s="444"/>
      <c r="L93" s="445"/>
      <c r="M93" s="445"/>
      <c r="N93" s="445"/>
      <c r="O93" s="446"/>
    </row>
    <row r="94" spans="1:16" x14ac:dyDescent="0.25">
      <c r="A94" s="17"/>
      <c r="B94" s="215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</row>
    <row r="95" spans="1:16" x14ac:dyDescent="0.25">
      <c r="A95" s="53" t="s">
        <v>134</v>
      </c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</row>
    <row r="96" spans="1:16" x14ac:dyDescent="0.25">
      <c r="O96" s="216"/>
      <c r="P96" s="215"/>
    </row>
    <row r="97" spans="1:16" x14ac:dyDescent="0.25">
      <c r="A97" s="192" t="s">
        <v>86</v>
      </c>
      <c r="I97" s="23"/>
      <c r="J97" s="51"/>
      <c r="K97" s="213"/>
      <c r="L97" s="23"/>
      <c r="M97" s="51"/>
      <c r="N97" s="51"/>
      <c r="O97" s="51"/>
    </row>
    <row r="98" spans="1:16" x14ac:dyDescent="0.25">
      <c r="A98" s="102"/>
      <c r="B98" s="229" t="s">
        <v>216</v>
      </c>
      <c r="C98" s="49"/>
      <c r="D98" s="216"/>
      <c r="E98" s="216"/>
      <c r="F98" s="49"/>
      <c r="G98" s="216"/>
      <c r="H98" s="216"/>
      <c r="I98" s="217"/>
      <c r="J98" s="51"/>
      <c r="K98" s="51"/>
      <c r="L98" s="219"/>
      <c r="M98" s="51"/>
      <c r="N98" s="51"/>
      <c r="O98" s="51"/>
    </row>
    <row r="99" spans="1:16" x14ac:dyDescent="0.25">
      <c r="A99" s="106"/>
      <c r="B99" s="230" t="s">
        <v>430</v>
      </c>
      <c r="C99" s="51"/>
      <c r="D99" s="215"/>
      <c r="E99" s="215"/>
      <c r="F99" s="51"/>
      <c r="G99" s="215"/>
      <c r="H99" s="215"/>
      <c r="I99" s="226"/>
      <c r="J99" s="225"/>
      <c r="K99" s="135"/>
      <c r="L99" s="218"/>
      <c r="M99" s="225"/>
      <c r="N99" s="51"/>
      <c r="O99" s="51"/>
    </row>
    <row r="100" spans="1:16" x14ac:dyDescent="0.25">
      <c r="A100" s="106"/>
      <c r="B100" s="230" t="s">
        <v>672</v>
      </c>
      <c r="C100" s="51"/>
      <c r="D100" s="215"/>
      <c r="E100" s="215"/>
      <c r="F100" s="51"/>
      <c r="G100" s="215"/>
      <c r="H100" s="215"/>
      <c r="I100" s="226"/>
      <c r="J100" s="225"/>
      <c r="K100" s="135"/>
      <c r="L100" s="219"/>
      <c r="M100" s="225"/>
      <c r="N100" s="51"/>
      <c r="O100" s="51"/>
    </row>
    <row r="101" spans="1:16" x14ac:dyDescent="0.25">
      <c r="A101" s="223"/>
      <c r="B101" s="231"/>
      <c r="C101" s="72"/>
      <c r="D101" s="168"/>
      <c r="E101" s="168"/>
      <c r="F101" s="72"/>
      <c r="G101" s="168"/>
      <c r="H101" s="168"/>
      <c r="I101" s="232"/>
      <c r="J101" s="225"/>
      <c r="K101" s="51"/>
      <c r="L101" s="219"/>
      <c r="M101" s="225"/>
      <c r="N101" s="51"/>
      <c r="O101" s="51"/>
    </row>
    <row r="102" spans="1:16" x14ac:dyDescent="0.25">
      <c r="A102" s="55" t="s">
        <v>42</v>
      </c>
      <c r="B102" s="55" t="s">
        <v>84</v>
      </c>
      <c r="C102" s="55" t="s">
        <v>137</v>
      </c>
      <c r="D102" s="55" t="s">
        <v>138</v>
      </c>
      <c r="E102" s="55" t="s">
        <v>217</v>
      </c>
      <c r="F102" s="55" t="s">
        <v>136</v>
      </c>
      <c r="G102" s="55" t="s">
        <v>303</v>
      </c>
      <c r="H102" s="55" t="s">
        <v>303</v>
      </c>
      <c r="I102" s="55" t="s">
        <v>436</v>
      </c>
      <c r="K102" s="135"/>
      <c r="L102" s="228"/>
      <c r="M102" s="51"/>
      <c r="N102" s="51"/>
      <c r="O102" s="51"/>
    </row>
    <row r="103" spans="1:16" x14ac:dyDescent="0.25">
      <c r="A103" s="56"/>
      <c r="B103" s="56" t="str">
        <f>IF($A$99="","",IF($A$99="rektangulær","kant/diagonal","diameter"))</f>
        <v/>
      </c>
      <c r="C103" s="56" t="str">
        <f>IF($A$99="","",IF($A$99="rektangulær","kant/diagonal","diameter"))</f>
        <v/>
      </c>
      <c r="D103" s="56" t="s">
        <v>51</v>
      </c>
      <c r="E103" s="56" t="s">
        <v>212</v>
      </c>
      <c r="F103" s="56"/>
      <c r="G103" s="56" t="s">
        <v>304</v>
      </c>
      <c r="H103" s="56" t="s">
        <v>305</v>
      </c>
      <c r="I103" s="56" t="s">
        <v>439</v>
      </c>
      <c r="L103" s="44"/>
    </row>
    <row r="104" spans="1:16" x14ac:dyDescent="0.25">
      <c r="A104" s="56"/>
      <c r="B104" s="56" t="s">
        <v>139</v>
      </c>
      <c r="C104" s="56" t="s">
        <v>370</v>
      </c>
      <c r="D104" s="56"/>
      <c r="E104" s="56"/>
      <c r="F104" s="56"/>
      <c r="G104" s="56"/>
      <c r="H104" s="56"/>
      <c r="I104" s="56"/>
    </row>
    <row r="105" spans="1:16" x14ac:dyDescent="0.25">
      <c r="A105" s="56"/>
      <c r="B105" s="56" t="s">
        <v>54</v>
      </c>
      <c r="C105" s="56" t="s">
        <v>54</v>
      </c>
      <c r="D105" s="56" t="s">
        <v>54</v>
      </c>
      <c r="E105" s="56" t="s">
        <v>52</v>
      </c>
      <c r="F105" s="57" t="s">
        <v>123</v>
      </c>
      <c r="G105" s="57" t="s">
        <v>123</v>
      </c>
      <c r="H105" s="57" t="s">
        <v>123</v>
      </c>
      <c r="I105" s="233"/>
    </row>
    <row r="106" spans="1:16" x14ac:dyDescent="0.25">
      <c r="A106" s="133">
        <v>1</v>
      </c>
      <c r="B106" s="102"/>
      <c r="C106" s="102"/>
      <c r="D106" s="220" t="str">
        <f>IF(OR(B106="",C106=""),"",ABS(B106-C106))</f>
        <v/>
      </c>
      <c r="E106" s="220" t="str">
        <f>IF(OR($A$98="",$A$99="",B106="",C106=""),"",D106/$A$98*100)</f>
        <v/>
      </c>
      <c r="F106" s="133" t="str">
        <f>IF(OR($A$98="",B106="",C106=""),"",IF(E106&gt;2,"IKKE OK","OK"))</f>
        <v/>
      </c>
      <c r="G106" s="105"/>
      <c r="H106" s="105"/>
      <c r="I106" s="220" t="s">
        <v>437</v>
      </c>
    </row>
    <row r="107" spans="1:16" x14ac:dyDescent="0.25">
      <c r="A107" s="223">
        <v>2</v>
      </c>
      <c r="B107" s="104"/>
      <c r="C107" s="104"/>
      <c r="D107" s="127" t="str">
        <f>IF(OR(B107="",C107=""),"",ABS(B107-C107))</f>
        <v/>
      </c>
      <c r="E107" s="127" t="str">
        <f>IF(OR($A$98="",$A$99="",B107="",C107=""),"",D107/$A$98*100)</f>
        <v/>
      </c>
      <c r="F107" s="134" t="str">
        <f>IF(OR($A$98="",B107="",C107=""),"",IF(E107&gt;2,"IKKE OK","OK"))</f>
        <v/>
      </c>
      <c r="G107" s="107"/>
      <c r="H107" s="107"/>
      <c r="I107" s="223" t="s">
        <v>438</v>
      </c>
    </row>
    <row r="110" spans="1:16" ht="18.75" x14ac:dyDescent="0.3">
      <c r="A110" s="43" t="s">
        <v>219</v>
      </c>
      <c r="B110" s="45"/>
      <c r="C110" s="45"/>
      <c r="D110" s="45"/>
      <c r="E110" s="43" t="s">
        <v>632</v>
      </c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51"/>
    </row>
    <row r="112" spans="1:16" x14ac:dyDescent="0.25">
      <c r="A112" s="46" t="s">
        <v>195</v>
      </c>
      <c r="B112" s="47"/>
      <c r="C112" s="47"/>
      <c r="D112" s="47"/>
      <c r="E112" s="47"/>
      <c r="F112" s="47"/>
      <c r="G112" s="47"/>
      <c r="H112" s="47"/>
      <c r="I112" s="47"/>
      <c r="J112" s="47"/>
      <c r="K112" s="68" t="s">
        <v>90</v>
      </c>
      <c r="L112" s="47"/>
      <c r="M112" s="47"/>
      <c r="N112" s="47"/>
      <c r="O112" s="47"/>
    </row>
    <row r="113" spans="1:16" x14ac:dyDescent="0.25">
      <c r="A113" s="48" t="s">
        <v>40</v>
      </c>
      <c r="B113" s="49" t="s">
        <v>82</v>
      </c>
      <c r="C113" s="49"/>
      <c r="D113" s="49"/>
      <c r="E113" s="49"/>
      <c r="F113" s="49"/>
      <c r="G113" s="49"/>
      <c r="H113" s="49"/>
      <c r="I113" s="49"/>
      <c r="J113" s="264"/>
      <c r="K113" s="453"/>
      <c r="L113" s="454"/>
      <c r="M113" s="454"/>
      <c r="N113" s="454"/>
      <c r="O113" s="455"/>
    </row>
    <row r="114" spans="1:16" x14ac:dyDescent="0.25">
      <c r="A114" s="50" t="s">
        <v>646</v>
      </c>
      <c r="B114" s="51" t="s">
        <v>315</v>
      </c>
      <c r="C114" s="51"/>
      <c r="D114" s="51"/>
      <c r="E114" s="51"/>
      <c r="F114" s="51"/>
      <c r="G114" s="51"/>
      <c r="H114" s="51"/>
      <c r="I114" s="51"/>
      <c r="J114" s="82"/>
      <c r="K114" s="441"/>
      <c r="L114" s="442"/>
      <c r="M114" s="442"/>
      <c r="N114" s="442"/>
      <c r="O114" s="443"/>
    </row>
    <row r="115" spans="1:16" x14ac:dyDescent="0.25">
      <c r="A115" s="50" t="s">
        <v>639</v>
      </c>
      <c r="B115" s="51" t="s">
        <v>707</v>
      </c>
      <c r="C115" s="51"/>
      <c r="D115" s="51"/>
      <c r="E115" s="51"/>
      <c r="F115" s="51"/>
      <c r="G115" s="51"/>
      <c r="H115" s="51"/>
      <c r="I115" s="51"/>
      <c r="J115" s="82"/>
      <c r="K115" s="441"/>
      <c r="L115" s="442"/>
      <c r="M115" s="442"/>
      <c r="N115" s="442"/>
      <c r="O115" s="443"/>
    </row>
    <row r="116" spans="1:16" x14ac:dyDescent="0.25">
      <c r="A116" s="50"/>
      <c r="B116" s="51" t="s">
        <v>706</v>
      </c>
      <c r="C116" s="51"/>
      <c r="D116" s="51"/>
      <c r="E116" s="51"/>
      <c r="F116" s="51"/>
      <c r="G116" s="51"/>
      <c r="H116" s="51"/>
      <c r="I116" s="51"/>
      <c r="J116" s="82"/>
      <c r="K116" s="441"/>
      <c r="L116" s="442"/>
      <c r="M116" s="442"/>
      <c r="N116" s="442"/>
      <c r="O116" s="443"/>
    </row>
    <row r="117" spans="1:16" x14ac:dyDescent="0.25">
      <c r="A117" s="50"/>
      <c r="B117" s="51" t="s">
        <v>708</v>
      </c>
      <c r="C117" s="51"/>
      <c r="D117" s="51"/>
      <c r="E117" s="51"/>
      <c r="F117" s="51"/>
      <c r="G117" s="51"/>
      <c r="H117" s="51"/>
      <c r="I117" s="51"/>
      <c r="J117" s="82"/>
      <c r="K117" s="441"/>
      <c r="L117" s="442"/>
      <c r="M117" s="442"/>
      <c r="N117" s="442"/>
      <c r="O117" s="443"/>
    </row>
    <row r="118" spans="1:16" x14ac:dyDescent="0.25">
      <c r="A118" s="50"/>
      <c r="B118" s="51" t="s">
        <v>643</v>
      </c>
      <c r="C118" s="51"/>
      <c r="D118" s="51"/>
      <c r="E118" s="51"/>
      <c r="F118" s="51"/>
      <c r="G118" s="51"/>
      <c r="H118" s="51"/>
      <c r="I118" s="51"/>
      <c r="J118" s="82"/>
      <c r="K118" s="441"/>
      <c r="L118" s="442"/>
      <c r="M118" s="442"/>
      <c r="N118" s="442"/>
      <c r="O118" s="443"/>
    </row>
    <row r="119" spans="1:16" x14ac:dyDescent="0.25">
      <c r="A119" s="50"/>
      <c r="B119" s="51" t="s">
        <v>709</v>
      </c>
      <c r="C119" s="51"/>
      <c r="D119" s="51"/>
      <c r="E119" s="51"/>
      <c r="F119" s="51"/>
      <c r="G119" s="51"/>
      <c r="H119" s="51"/>
      <c r="I119" s="51"/>
      <c r="J119" s="82"/>
      <c r="K119" s="441"/>
      <c r="L119" s="442"/>
      <c r="M119" s="442"/>
      <c r="N119" s="442"/>
      <c r="O119" s="443"/>
    </row>
    <row r="120" spans="1:16" x14ac:dyDescent="0.25">
      <c r="A120" s="50"/>
      <c r="B120" s="51" t="s">
        <v>711</v>
      </c>
      <c r="C120" s="51"/>
      <c r="D120" s="51"/>
      <c r="E120" s="51"/>
      <c r="F120" s="51"/>
      <c r="G120" s="51"/>
      <c r="H120" s="51"/>
      <c r="I120" s="51"/>
      <c r="J120" s="82"/>
      <c r="K120" s="441"/>
      <c r="L120" s="442"/>
      <c r="M120" s="442"/>
      <c r="N120" s="442"/>
      <c r="O120" s="443"/>
    </row>
    <row r="121" spans="1:16" x14ac:dyDescent="0.25">
      <c r="A121" s="50" t="s">
        <v>41</v>
      </c>
      <c r="B121" s="51" t="s">
        <v>712</v>
      </c>
      <c r="C121" s="51"/>
      <c r="D121" s="51"/>
      <c r="E121" s="51"/>
      <c r="F121" s="51"/>
      <c r="G121" s="51"/>
      <c r="H121" s="51"/>
      <c r="I121" s="51"/>
      <c r="J121" s="82"/>
      <c r="K121" s="441"/>
      <c r="L121" s="442"/>
      <c r="M121" s="442"/>
      <c r="N121" s="442"/>
      <c r="O121" s="443"/>
    </row>
    <row r="122" spans="1:16" x14ac:dyDescent="0.25">
      <c r="A122" s="50"/>
      <c r="B122" s="51" t="s">
        <v>710</v>
      </c>
      <c r="C122" s="51"/>
      <c r="D122" s="51"/>
      <c r="E122" s="51"/>
      <c r="F122" s="51"/>
      <c r="G122" s="51"/>
      <c r="H122" s="51"/>
      <c r="I122" s="51"/>
      <c r="J122" s="82"/>
      <c r="K122" s="441"/>
      <c r="L122" s="442"/>
      <c r="M122" s="442"/>
      <c r="N122" s="442"/>
      <c r="O122" s="443"/>
    </row>
    <row r="123" spans="1:16" x14ac:dyDescent="0.25">
      <c r="A123" s="52"/>
      <c r="B123" s="72" t="s">
        <v>522</v>
      </c>
      <c r="C123" s="72"/>
      <c r="D123" s="72"/>
      <c r="E123" s="72"/>
      <c r="F123" s="72"/>
      <c r="G123" s="72"/>
      <c r="H123" s="72"/>
      <c r="I123" s="72"/>
      <c r="J123" s="83"/>
      <c r="K123" s="444"/>
      <c r="L123" s="445"/>
      <c r="M123" s="445"/>
      <c r="N123" s="445"/>
      <c r="O123" s="446"/>
    </row>
    <row r="124" spans="1:16" x14ac:dyDescent="0.25">
      <c r="A124" s="48" t="s">
        <v>659</v>
      </c>
      <c r="B124" s="216" t="s">
        <v>660</v>
      </c>
      <c r="C124" s="49"/>
      <c r="D124" s="49"/>
      <c r="E124" s="49"/>
      <c r="F124" s="49"/>
      <c r="G124" s="49"/>
      <c r="H124" s="49"/>
      <c r="I124" s="49"/>
      <c r="J124" s="373" t="s">
        <v>684</v>
      </c>
      <c r="K124" s="200"/>
      <c r="L124" s="382"/>
      <c r="M124" s="382"/>
      <c r="N124" s="382"/>
      <c r="O124" s="383"/>
    </row>
    <row r="125" spans="1:16" x14ac:dyDescent="0.25">
      <c r="A125" s="52"/>
      <c r="B125" s="168" t="s">
        <v>661</v>
      </c>
      <c r="C125" s="72"/>
      <c r="D125" s="72"/>
      <c r="E125" s="72"/>
      <c r="F125" s="72"/>
      <c r="G125" s="72"/>
      <c r="H125" s="72"/>
      <c r="I125" s="72"/>
      <c r="J125" s="374" t="s">
        <v>662</v>
      </c>
      <c r="K125" s="444"/>
      <c r="L125" s="445"/>
      <c r="M125" s="445"/>
      <c r="N125" s="445"/>
      <c r="O125" s="446"/>
    </row>
    <row r="126" spans="1:16" x14ac:dyDescent="0.25">
      <c r="A126" s="17"/>
      <c r="B126" s="215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</row>
    <row r="127" spans="1:16" x14ac:dyDescent="0.25">
      <c r="A127" s="53" t="s">
        <v>220</v>
      </c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</row>
    <row r="128" spans="1:16" x14ac:dyDescent="0.25">
      <c r="O128" s="216"/>
      <c r="P128" s="215"/>
    </row>
    <row r="129" spans="1:16" x14ac:dyDescent="0.25">
      <c r="A129" s="192" t="s">
        <v>221</v>
      </c>
      <c r="B129" s="192"/>
      <c r="C129" s="192"/>
      <c r="D129" s="192"/>
      <c r="F129" s="51"/>
      <c r="G129" s="51"/>
      <c r="H129" s="51"/>
      <c r="I129" s="23"/>
      <c r="J129" s="51"/>
      <c r="K129" s="51"/>
      <c r="L129" s="23"/>
      <c r="M129" s="51"/>
      <c r="N129" s="51"/>
      <c r="O129" s="51"/>
    </row>
    <row r="130" spans="1:16" x14ac:dyDescent="0.25">
      <c r="A130" s="55" t="s">
        <v>42</v>
      </c>
      <c r="B130" s="174"/>
      <c r="C130" s="234"/>
      <c r="D130" s="182"/>
      <c r="E130" s="183"/>
      <c r="F130" s="55" t="s">
        <v>136</v>
      </c>
      <c r="G130" s="51"/>
      <c r="H130" s="51"/>
      <c r="I130" s="51"/>
      <c r="J130" s="51"/>
      <c r="K130" s="135"/>
      <c r="L130" s="51"/>
      <c r="M130" s="51"/>
      <c r="N130" s="51"/>
      <c r="O130" s="51"/>
    </row>
    <row r="131" spans="1:16" x14ac:dyDescent="0.25">
      <c r="A131" s="57"/>
      <c r="B131" s="191"/>
      <c r="C131" s="235"/>
      <c r="D131" s="54"/>
      <c r="E131" s="178"/>
      <c r="F131" s="57" t="s">
        <v>123</v>
      </c>
    </row>
    <row r="132" spans="1:16" x14ac:dyDescent="0.25">
      <c r="A132" s="133">
        <v>1</v>
      </c>
      <c r="B132" s="236" t="s">
        <v>287</v>
      </c>
      <c r="C132" s="237"/>
      <c r="D132" s="216"/>
      <c r="E132" s="217"/>
      <c r="F132" s="102"/>
    </row>
    <row r="133" spans="1:16" x14ac:dyDescent="0.25">
      <c r="A133" s="222">
        <v>2</v>
      </c>
      <c r="B133" s="238" t="s">
        <v>446</v>
      </c>
      <c r="C133" s="219"/>
      <c r="D133" s="215"/>
      <c r="E133" s="226"/>
      <c r="F133" s="103"/>
    </row>
    <row r="134" spans="1:16" x14ac:dyDescent="0.25">
      <c r="A134" s="134">
        <v>3</v>
      </c>
      <c r="B134" s="231" t="s">
        <v>222</v>
      </c>
      <c r="C134" s="169"/>
      <c r="D134" s="168"/>
      <c r="E134" s="232"/>
      <c r="F134" s="104"/>
    </row>
    <row r="137" spans="1:16" ht="18.75" x14ac:dyDescent="0.3">
      <c r="A137" s="43" t="s">
        <v>371</v>
      </c>
      <c r="B137" s="45"/>
      <c r="C137" s="45"/>
      <c r="D137" s="45"/>
      <c r="E137" s="124" t="s">
        <v>433</v>
      </c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51"/>
    </row>
    <row r="139" spans="1:16" x14ac:dyDescent="0.25">
      <c r="A139" s="46" t="s">
        <v>374</v>
      </c>
      <c r="B139" s="47"/>
      <c r="C139" s="47"/>
      <c r="D139" s="47"/>
      <c r="E139" s="47"/>
      <c r="F139" s="47"/>
      <c r="G139" s="47"/>
      <c r="H139" s="47"/>
      <c r="I139" s="47"/>
      <c r="J139" s="47"/>
      <c r="K139" s="68" t="s">
        <v>90</v>
      </c>
      <c r="L139" s="47"/>
      <c r="M139" s="47"/>
      <c r="N139" s="47"/>
      <c r="O139" s="47"/>
    </row>
    <row r="140" spans="1:16" x14ac:dyDescent="0.25">
      <c r="A140" s="48" t="s">
        <v>40</v>
      </c>
      <c r="B140" s="49" t="s">
        <v>82</v>
      </c>
      <c r="C140" s="49"/>
      <c r="D140" s="49"/>
      <c r="E140" s="49"/>
      <c r="F140" s="49"/>
      <c r="G140" s="49"/>
      <c r="H140" s="49"/>
      <c r="I140" s="49"/>
      <c r="J140" s="264"/>
      <c r="K140" s="453"/>
      <c r="L140" s="454"/>
      <c r="M140" s="454"/>
      <c r="N140" s="454"/>
      <c r="O140" s="455"/>
    </row>
    <row r="141" spans="1:16" x14ac:dyDescent="0.25">
      <c r="A141" s="50" t="s">
        <v>646</v>
      </c>
      <c r="B141" s="51" t="s">
        <v>315</v>
      </c>
      <c r="C141" s="51"/>
      <c r="D141" s="51"/>
      <c r="E141" s="51"/>
      <c r="F141" s="51"/>
      <c r="G141" s="51"/>
      <c r="H141" s="51"/>
      <c r="I141" s="51"/>
      <c r="J141" s="82"/>
      <c r="K141" s="441"/>
      <c r="L141" s="442"/>
      <c r="M141" s="442"/>
      <c r="N141" s="442"/>
      <c r="O141" s="443"/>
    </row>
    <row r="142" spans="1:16" x14ac:dyDescent="0.25">
      <c r="A142" s="50" t="s">
        <v>639</v>
      </c>
      <c r="B142" s="51" t="s">
        <v>713</v>
      </c>
      <c r="C142" s="51"/>
      <c r="D142" s="51"/>
      <c r="E142" s="51"/>
      <c r="F142" s="51"/>
      <c r="G142" s="51"/>
      <c r="H142" s="51"/>
      <c r="I142" s="51"/>
      <c r="J142" s="82"/>
      <c r="K142" s="441"/>
      <c r="L142" s="442"/>
      <c r="M142" s="442"/>
      <c r="N142" s="442"/>
      <c r="O142" s="443"/>
    </row>
    <row r="143" spans="1:16" x14ac:dyDescent="0.25">
      <c r="A143" s="50" t="s">
        <v>41</v>
      </c>
      <c r="B143" s="51" t="s">
        <v>375</v>
      </c>
      <c r="C143" s="51"/>
      <c r="D143" s="51"/>
      <c r="E143" s="51"/>
      <c r="F143" s="51"/>
      <c r="G143" s="51"/>
      <c r="H143" s="51"/>
      <c r="I143" s="51"/>
      <c r="J143" s="82"/>
      <c r="K143" s="441"/>
      <c r="L143" s="442"/>
      <c r="M143" s="442"/>
      <c r="N143" s="442"/>
      <c r="O143" s="443"/>
    </row>
    <row r="144" spans="1:16" x14ac:dyDescent="0.25">
      <c r="A144" s="52"/>
      <c r="B144" s="72" t="s">
        <v>580</v>
      </c>
      <c r="C144" s="72"/>
      <c r="D144" s="72"/>
      <c r="E144" s="72"/>
      <c r="F144" s="72"/>
      <c r="G144" s="72"/>
      <c r="H144" s="72"/>
      <c r="I144" s="72"/>
      <c r="J144" s="83"/>
      <c r="K144" s="444"/>
      <c r="L144" s="445"/>
      <c r="M144" s="445"/>
      <c r="N144" s="445"/>
      <c r="O144" s="446"/>
    </row>
    <row r="145" spans="1:16" x14ac:dyDescent="0.25">
      <c r="A145" s="48" t="s">
        <v>659</v>
      </c>
      <c r="B145" s="216" t="s">
        <v>660</v>
      </c>
      <c r="C145" s="49"/>
      <c r="D145" s="49"/>
      <c r="E145" s="49"/>
      <c r="F145" s="49"/>
      <c r="G145" s="49"/>
      <c r="H145" s="49"/>
      <c r="I145" s="49"/>
      <c r="J145" s="373" t="s">
        <v>684</v>
      </c>
      <c r="K145" s="200"/>
      <c r="L145" s="382"/>
      <c r="M145" s="382"/>
      <c r="N145" s="382"/>
      <c r="O145" s="383"/>
    </row>
    <row r="146" spans="1:16" x14ac:dyDescent="0.25">
      <c r="A146" s="52"/>
      <c r="B146" s="168" t="s">
        <v>661</v>
      </c>
      <c r="C146" s="72"/>
      <c r="D146" s="72"/>
      <c r="E146" s="72"/>
      <c r="F146" s="72"/>
      <c r="G146" s="72"/>
      <c r="H146" s="72"/>
      <c r="I146" s="72"/>
      <c r="J146" s="374" t="s">
        <v>662</v>
      </c>
      <c r="K146" s="444"/>
      <c r="L146" s="445"/>
      <c r="M146" s="445"/>
      <c r="N146" s="445"/>
      <c r="O146" s="446"/>
    </row>
    <row r="147" spans="1:16" x14ac:dyDescent="0.25">
      <c r="A147" s="17"/>
      <c r="B147" s="215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</row>
    <row r="148" spans="1:16" x14ac:dyDescent="0.25">
      <c r="A148" s="53" t="s">
        <v>143</v>
      </c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4"/>
      <c r="M148" s="54"/>
      <c r="N148" s="54"/>
      <c r="O148" s="54"/>
    </row>
    <row r="149" spans="1:16" x14ac:dyDescent="0.25">
      <c r="O149" s="216"/>
      <c r="P149" s="215"/>
    </row>
    <row r="150" spans="1:16" x14ac:dyDescent="0.25">
      <c r="A150" s="192" t="s">
        <v>376</v>
      </c>
      <c r="B150" s="192"/>
      <c r="C150" s="192"/>
      <c r="D150" s="192"/>
      <c r="F150" s="51"/>
      <c r="G150" s="51"/>
      <c r="H150" s="51"/>
      <c r="I150" s="23"/>
      <c r="J150" s="51"/>
      <c r="K150" s="51"/>
      <c r="L150" s="23"/>
      <c r="M150" s="51"/>
      <c r="N150" s="51"/>
      <c r="O150" s="51"/>
    </row>
    <row r="151" spans="1:16" x14ac:dyDescent="0.25">
      <c r="A151" s="55" t="s">
        <v>42</v>
      </c>
      <c r="B151" s="174" t="s">
        <v>523</v>
      </c>
      <c r="C151" s="234"/>
      <c r="D151" s="183"/>
      <c r="E151" s="55" t="s">
        <v>136</v>
      </c>
      <c r="F151" s="55" t="s">
        <v>436</v>
      </c>
      <c r="G151" s="51"/>
      <c r="H151" s="51"/>
      <c r="I151" s="51"/>
      <c r="J151" s="51"/>
      <c r="K151" s="135"/>
      <c r="L151" s="51"/>
      <c r="M151" s="51"/>
      <c r="N151" s="51"/>
      <c r="O151" s="51"/>
    </row>
    <row r="152" spans="1:16" x14ac:dyDescent="0.25">
      <c r="A152" s="57"/>
      <c r="B152" s="191"/>
      <c r="C152" s="235"/>
      <c r="D152" s="178"/>
      <c r="E152" s="57" t="s">
        <v>378</v>
      </c>
      <c r="F152" s="56" t="s">
        <v>439</v>
      </c>
      <c r="H152" s="44"/>
      <c r="I152" s="44"/>
      <c r="K152" s="213"/>
    </row>
    <row r="153" spans="1:16" x14ac:dyDescent="0.25">
      <c r="A153" s="133">
        <v>1</v>
      </c>
      <c r="B153" s="236" t="s">
        <v>377</v>
      </c>
      <c r="C153" s="237"/>
      <c r="D153" s="217"/>
      <c r="E153" s="102"/>
      <c r="F153" s="220" t="s">
        <v>437</v>
      </c>
      <c r="H153" s="44"/>
      <c r="I153" s="44"/>
      <c r="K153" s="213"/>
    </row>
    <row r="154" spans="1:16" x14ac:dyDescent="0.25">
      <c r="A154" s="223">
        <v>2</v>
      </c>
      <c r="B154" s="231" t="s">
        <v>377</v>
      </c>
      <c r="C154" s="169"/>
      <c r="D154" s="239"/>
      <c r="E154" s="104"/>
      <c r="F154" s="223" t="s">
        <v>438</v>
      </c>
      <c r="H154" s="51"/>
      <c r="I154" s="51"/>
    </row>
    <row r="155" spans="1:16" x14ac:dyDescent="0.25">
      <c r="H155" s="51"/>
      <c r="I155" s="51"/>
      <c r="K155" s="213"/>
    </row>
    <row r="156" spans="1:16" x14ac:dyDescent="0.25">
      <c r="H156" s="51"/>
      <c r="I156" s="51"/>
      <c r="K156" s="213"/>
    </row>
    <row r="157" spans="1:16" x14ac:dyDescent="0.25">
      <c r="H157" s="51"/>
      <c r="I157" s="51" t="s">
        <v>502</v>
      </c>
      <c r="K157" s="213"/>
    </row>
    <row r="158" spans="1:16" x14ac:dyDescent="0.25">
      <c r="H158" s="51"/>
      <c r="I158" s="51"/>
      <c r="K158" s="213"/>
    </row>
    <row r="159" spans="1:16" x14ac:dyDescent="0.25">
      <c r="H159" s="51"/>
      <c r="I159" s="51"/>
    </row>
    <row r="160" spans="1:16" x14ac:dyDescent="0.25">
      <c r="H160" s="51"/>
      <c r="I160" s="51"/>
    </row>
    <row r="161" spans="8:9" x14ac:dyDescent="0.25">
      <c r="H161" s="219"/>
      <c r="I161" s="51"/>
    </row>
    <row r="162" spans="8:9" x14ac:dyDescent="0.25">
      <c r="H162" s="51"/>
      <c r="I162" s="51"/>
    </row>
    <row r="163" spans="8:9" x14ac:dyDescent="0.25">
      <c r="H163" s="51"/>
      <c r="I163" s="51"/>
    </row>
  </sheetData>
  <sheetProtection sheet="1" objects="1" scenarios="1"/>
  <mergeCells count="78">
    <mergeCell ref="K90:O90"/>
    <mergeCell ref="K85:O85"/>
    <mergeCell ref="K86:O86"/>
    <mergeCell ref="K87:O87"/>
    <mergeCell ref="K88:O88"/>
    <mergeCell ref="K89:O89"/>
    <mergeCell ref="K12:O12"/>
    <mergeCell ref="O64:S64"/>
    <mergeCell ref="K81:O81"/>
    <mergeCell ref="K82:O82"/>
    <mergeCell ref="K83:O83"/>
    <mergeCell ref="N1:O1"/>
    <mergeCell ref="N2:O2"/>
    <mergeCell ref="N3:O3"/>
    <mergeCell ref="N4:O4"/>
    <mergeCell ref="N5:O5"/>
    <mergeCell ref="I1:K1"/>
    <mergeCell ref="I2:K2"/>
    <mergeCell ref="I3:K3"/>
    <mergeCell ref="I4:K4"/>
    <mergeCell ref="I5:K5"/>
    <mergeCell ref="C1:E1"/>
    <mergeCell ref="C2:E2"/>
    <mergeCell ref="C3:E3"/>
    <mergeCell ref="C4:E4"/>
    <mergeCell ref="C5:E5"/>
    <mergeCell ref="K146:O146"/>
    <mergeCell ref="K140:O140"/>
    <mergeCell ref="K141:O141"/>
    <mergeCell ref="K22:O22"/>
    <mergeCell ref="K56:O56"/>
    <mergeCell ref="K93:O93"/>
    <mergeCell ref="K39:O39"/>
    <mergeCell ref="K76:O76"/>
    <mergeCell ref="K77:O77"/>
    <mergeCell ref="K42:O42"/>
    <mergeCell ref="K114:O114"/>
    <mergeCell ref="K113:O113"/>
    <mergeCell ref="K119:O119"/>
    <mergeCell ref="K120:O120"/>
    <mergeCell ref="K121:O121"/>
    <mergeCell ref="K84:O84"/>
    <mergeCell ref="K19:O19"/>
    <mergeCell ref="K20:O20"/>
    <mergeCell ref="K13:O13"/>
    <mergeCell ref="K40:O40"/>
    <mergeCell ref="K41:O41"/>
    <mergeCell ref="K14:O14"/>
    <mergeCell ref="K15:O15"/>
    <mergeCell ref="K16:O16"/>
    <mergeCell ref="K17:O17"/>
    <mergeCell ref="K18:O18"/>
    <mergeCell ref="K43:O43"/>
    <mergeCell ref="K44:O44"/>
    <mergeCell ref="K45:O45"/>
    <mergeCell ref="K46:O46"/>
    <mergeCell ref="K47:O47"/>
    <mergeCell ref="K48:O48"/>
    <mergeCell ref="K49:O49"/>
    <mergeCell ref="K50:O50"/>
    <mergeCell ref="K51:O51"/>
    <mergeCell ref="K52:O52"/>
    <mergeCell ref="K53:O53"/>
    <mergeCell ref="K54:O54"/>
    <mergeCell ref="K78:O78"/>
    <mergeCell ref="K79:O79"/>
    <mergeCell ref="K80:O80"/>
    <mergeCell ref="K91:O91"/>
    <mergeCell ref="K115:O115"/>
    <mergeCell ref="K116:O116"/>
    <mergeCell ref="K117:O117"/>
    <mergeCell ref="K118:O118"/>
    <mergeCell ref="K122:O122"/>
    <mergeCell ref="K123:O123"/>
    <mergeCell ref="K142:O142"/>
    <mergeCell ref="K143:O143"/>
    <mergeCell ref="K144:O144"/>
    <mergeCell ref="K125:O125"/>
  </mergeCells>
  <conditionalFormatting sqref="E31:E33">
    <cfRule type="cellIs" dxfId="169" priority="55" operator="equal">
      <formula>"IKKE OK"</formula>
    </cfRule>
    <cfRule type="cellIs" dxfId="168" priority="56" operator="equal">
      <formula>"OK"</formula>
    </cfRule>
  </conditionalFormatting>
  <conditionalFormatting sqref="E66:E70">
    <cfRule type="cellIs" dxfId="167" priority="49" operator="equal">
      <formula>"Kontakt MFE"</formula>
    </cfRule>
    <cfRule type="cellIs" dxfId="166" priority="50" operator="equal">
      <formula>"OK"</formula>
    </cfRule>
  </conditionalFormatting>
  <conditionalFormatting sqref="E153:E154">
    <cfRule type="cellIs" dxfId="165" priority="33" operator="equal">
      <formula>"nej"</formula>
    </cfRule>
    <cfRule type="cellIs" dxfId="164" priority="34" operator="equal">
      <formula>"ja"</formula>
    </cfRule>
  </conditionalFormatting>
  <conditionalFormatting sqref="F132:F134">
    <cfRule type="cellIs" dxfId="161" priority="39" operator="equal">
      <formula>"IKKE OK"</formula>
    </cfRule>
    <cfRule type="cellIs" dxfId="160" priority="40" operator="equal">
      <formula>"OK"</formula>
    </cfRule>
  </conditionalFormatting>
  <conditionalFormatting sqref="F106:H107">
    <cfRule type="cellIs" dxfId="158" priority="35" operator="equal">
      <formula>"IKKE OK"</formula>
    </cfRule>
    <cfRule type="cellIs" dxfId="157" priority="36" operator="equal">
      <formula>"OK"</formula>
    </cfRule>
  </conditionalFormatting>
  <conditionalFormatting sqref="J66:J70">
    <cfRule type="cellIs" dxfId="153" priority="27" operator="equal">
      <formula>"Kontakt MFE"</formula>
    </cfRule>
    <cfRule type="cellIs" dxfId="152" priority="28" operator="equal">
      <formula>"OK"</formula>
    </cfRule>
  </conditionalFormatting>
  <conditionalFormatting sqref="L31:L33">
    <cfRule type="cellIs" dxfId="151" priority="5" operator="equal">
      <formula>"IKKE OK"</formula>
    </cfRule>
    <cfRule type="cellIs" dxfId="150" priority="6" operator="equal">
      <formula>"OK"</formula>
    </cfRule>
  </conditionalFormatting>
  <pageMargins left="0.7" right="0.7" top="0.75" bottom="0.75" header="0.3" footer="0.3"/>
  <pageSetup paperSize="9" orientation="portrait" r:id="rId1"/>
  <ignoredErrors>
    <ignoredError sqref="N4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9" id="{564CA301-A9C6-4EEC-9178-5FC52C396966}">
            <xm:f>OR(Oplysningsside!$B$15="C bue",Oplysningsside!$B$15="Mini C bue",Oplysningsside!$B$1%="Intervention",Oplysningsside!$B$15="R/F funktion")</xm:f>
            <x14:dxf>
              <font>
                <color auto="1"/>
              </font>
              <fill>
                <patternFill patternType="none">
                  <fgColor auto="1"/>
                  <bgColor auto="1"/>
                </patternFill>
              </fill>
            </x14:dxf>
          </x14:cfRule>
          <xm:sqref>A32</xm:sqref>
        </x14:conditionalFormatting>
        <x14:conditionalFormatting xmlns:xm="http://schemas.microsoft.com/office/excel/2006/main">
          <x14:cfRule type="expression" priority="20" id="{CBD59932-731E-4810-93CD-88C52A1761EF}">
            <xm:f>OR(Oplysningsside!$B$15="C bue",Oplysningsside!$B$15="Mini C bue",Oplysningsside!$B$15="Intervention")</xm:f>
            <x14:dxf>
              <font>
                <color theme="0"/>
              </font>
              <fill>
                <patternFill patternType="solid">
                  <bgColor theme="0" tint="-4.9989318521683403E-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/>
                <bottom style="thin">
                  <color auto="1"/>
                </bottom>
                <vertical/>
                <horizontal/>
              </border>
            </x14:dxf>
          </x14:cfRule>
          <xm:sqref>A62</xm:sqref>
        </x14:conditionalFormatting>
        <x14:conditionalFormatting xmlns:xm="http://schemas.microsoft.com/office/excel/2006/main">
          <x14:cfRule type="expression" priority="10" id="{AB217CA3-DEEC-4831-AB27-663688C7C863}">
            <xm:f>OR(Oplysningsside!$B$15="C bue",Oplysningsside!$B$15="Mini C bue",Oplysningsside!$B$15="Intervention")</xm:f>
            <x14:dxf>
              <font>
                <color theme="0"/>
              </font>
              <fill>
                <patternFill patternType="none">
                  <bgColor auto="1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/>
                <bottom style="thin">
                  <color auto="1"/>
                </bottom>
              </border>
            </x14:dxf>
          </x14:cfRule>
          <xm:sqref>A154</xm:sqref>
        </x14:conditionalFormatting>
        <x14:conditionalFormatting xmlns:xm="http://schemas.microsoft.com/office/excel/2006/main">
          <x14:cfRule type="expression" priority="17" id="{8927AADF-ED37-4F69-BCD4-3F256224581F}">
            <xm:f>OR(Oplysningsside!$B$15="C bue",Oplysningsside!$B$15="Mini C bue",Oplysningsside!$B$15="Intervention",Oplysningsside!$B$15="R/F system")</xm:f>
            <x14:dxf>
              <font>
                <color theme="0"/>
              </font>
              <fill>
                <patternFill patternType="none">
                  <bgColor auto="1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/>
                <bottom style="thin">
                  <color auto="1"/>
                </bottom>
              </border>
            </x14:dxf>
          </x14:cfRule>
          <xm:sqref>A107:H107</xm:sqref>
        </x14:conditionalFormatting>
        <x14:conditionalFormatting xmlns:xm="http://schemas.microsoft.com/office/excel/2006/main">
          <x14:cfRule type="expression" priority="19" id="{7AA29530-411B-4D13-8893-9A7E4CADA239}">
            <xm:f>OR(Oplysningsside!$B$15="C bue",Oplysningsside!$B$15="Mini C bue",Oplysningsside!$B$15="Intervention")</xm:f>
            <x14:dxf>
              <font>
                <color theme="0"/>
              </font>
              <fill>
                <patternFill patternType="solid">
                  <bgColor theme="0" tint="-4.9989318521683403E-2"/>
                </patternFill>
              </fill>
              <border>
                <left style="thin">
                  <color auto="1"/>
                </left>
                <right/>
                <top/>
                <bottom style="thin">
                  <color auto="1"/>
                </bottom>
                <vertical/>
                <horizontal/>
              </border>
            </x14:dxf>
          </x14:cfRule>
          <xm:sqref>B62</xm:sqref>
        </x14:conditionalFormatting>
        <x14:conditionalFormatting xmlns:xm="http://schemas.microsoft.com/office/excel/2006/main">
          <x14:cfRule type="expression" priority="12" id="{3A3ABC71-263A-47FF-9514-9535A08DA58E}">
            <xm:f>OR(Oplysningsside!$B$15="C bue",Oplysningsside!$B$15="Mini C bue",Oplysningsside!$B$15="Intervention")</xm:f>
            <x14:dxf>
              <font>
                <color theme="0"/>
              </font>
              <fill>
                <patternFill patternType="none">
                  <bgColor auto="1"/>
                </patternFill>
              </fill>
              <border>
                <left style="thin">
                  <color auto="1"/>
                </left>
                <right/>
                <top/>
                <bottom style="thin">
                  <color auto="1"/>
                </bottom>
              </border>
            </x14:dxf>
          </x14:cfRule>
          <xm:sqref>B154</xm:sqref>
        </x14:conditionalFormatting>
        <x14:conditionalFormatting xmlns:xm="http://schemas.microsoft.com/office/excel/2006/main">
          <x14:cfRule type="expression" priority="24" id="{43C9BCEF-AF0F-4F41-A040-CFBF63FCFDEB}">
            <xm:f>OR(Oplysningsside!$B$15="C bue",Oplysningsside!$B$15="Mini C bue",Oplysningsside!$B$15="Intervention")</xm:f>
            <x14:dxf>
              <font>
                <color theme="0"/>
              </font>
              <fill>
                <patternFill patternType="none">
                  <bgColor auto="1"/>
                </patternFill>
              </fill>
              <border>
                <left/>
                <right/>
                <top/>
                <bottom style="thin">
                  <color auto="1"/>
                </bottom>
                <vertical/>
                <horizontal/>
              </border>
            </x14:dxf>
          </x14:cfRule>
          <xm:sqref>C62:E62</xm:sqref>
        </x14:conditionalFormatting>
        <x14:conditionalFormatting xmlns:xm="http://schemas.microsoft.com/office/excel/2006/main">
          <x14:cfRule type="expression" priority="9" id="{E00AF743-0AEA-47D2-9B0B-F648A4512977}">
            <xm:f>OR(Oplysningsside!$B$15="C bue",Oplysningsside!$B$15="Mini C bue",Oplysningsside!$B$15="Intervention")</xm:f>
            <x14:dxf>
              <font>
                <color theme="0"/>
              </font>
              <fill>
                <patternFill patternType="none">
                  <bgColor auto="1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/>
                <bottom style="thin">
                  <color auto="1"/>
                </bottom>
                <vertical/>
                <horizontal/>
              </border>
            </x14:dxf>
          </x14:cfRule>
          <xm:sqref>E154</xm:sqref>
        </x14:conditionalFormatting>
        <x14:conditionalFormatting xmlns:xm="http://schemas.microsoft.com/office/excel/2006/main">
          <x14:cfRule type="expression" priority="26" id="{291021B6-24C7-4EFA-B718-07966CA4A258}">
            <xm:f>OR(Oplysningsside!$B$15="C bue",Oplysningsside!$B$15="Mini C bue",Oplysningsside!$B$15="Intervention",Oplysningsside!$B$15="R/F system")</xm:f>
            <x14:dxf>
              <font>
                <color theme="0"/>
              </font>
              <fill>
                <patternFill patternType="solid">
                  <bgColor theme="0" tint="-4.9989318521683403E-2"/>
                </patternFill>
              </fill>
              <border>
                <left style="thin">
                  <color auto="1"/>
                </left>
                <right/>
                <top/>
                <bottom/>
                <vertical/>
                <horizontal/>
              </border>
            </x14:dxf>
          </x14:cfRule>
          <xm:sqref>F26:F33 F60:F70</xm:sqref>
        </x14:conditionalFormatting>
        <x14:conditionalFormatting xmlns:xm="http://schemas.microsoft.com/office/excel/2006/main">
          <x14:cfRule type="expression" priority="32" id="{EFCE3338-8A05-4522-8646-6B7A8547D6CC}">
            <xm:f>OR(Oplysningsside!$B$15="C bue",Oplysningsside!$B$15="Mini C bue",Oplysningsside!$B$15="Intervention")</xm:f>
            <x14:dxf>
              <font>
                <color theme="0"/>
              </font>
              <fill>
                <patternFill patternType="solid">
                  <bgColor theme="0" tint="-4.9989318521683403E-2"/>
                </patternFill>
              </fill>
              <border>
                <left style="thin">
                  <color auto="1"/>
                </left>
                <right/>
                <top/>
                <bottom/>
              </border>
            </x14:dxf>
          </x14:cfRule>
          <xm:sqref>F151:F154</xm:sqref>
        </x14:conditionalFormatting>
        <x14:conditionalFormatting xmlns:xm="http://schemas.microsoft.com/office/excel/2006/main">
          <x14:cfRule type="expression" priority="21" id="{F4F3CE2B-A610-46F7-876B-DF43B9DC7FCB}">
            <xm:f>OR(Oplysningsside!$B$15="C bue",Oplysningsside!$B$15="Mini C bue",Oplysningsside!$B$15="Intervention",Oplysningsside!$B$15="R/F system")</xm:f>
            <x14:dxf>
              <font>
                <color theme="0"/>
              </font>
              <fill>
                <patternFill patternType="solid">
                  <bgColor theme="0" tint="-4.9989318521683403E-2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G60:J70</xm:sqref>
        </x14:conditionalFormatting>
        <x14:conditionalFormatting xmlns:xm="http://schemas.microsoft.com/office/excel/2006/main">
          <x14:cfRule type="expression" priority="7" id="{EBBF18A2-B16B-4209-9C1A-01C6F630701A}">
            <xm:f>OR(Oplysningsside!$B$15="C bue",Oplysningsside!$B$15="Mini C bue",Oplysningsside!$B$15="Intervention",Oplysningsside!$B$15="R/F system")</xm:f>
            <x14:dxf>
              <font>
                <color theme="0"/>
              </font>
              <fill>
                <patternFill patternType="solid">
                  <bgColor theme="0" tint="-4.9989318521683403E-2"/>
                </patternFill>
              </fill>
              <border>
                <left style="thin">
                  <color auto="1"/>
                </left>
                <right/>
                <top/>
                <bottom/>
                <vertical/>
                <horizontal/>
              </border>
            </x14:dxf>
          </x14:cfRule>
          <xm:sqref>I98:I107</xm:sqref>
        </x14:conditionalFormatting>
        <x14:conditionalFormatting xmlns:xm="http://schemas.microsoft.com/office/excel/2006/main">
          <x14:cfRule type="expression" priority="4" id="{9C8087D4-1F0A-48CF-B539-99F90670D969}">
            <xm:f>OR(Oplysningsside!$B$15="C bue",Oplysningsside!$B$15="Mini C bue",Oplysningsside!$B$1%="Intervention")</xm:f>
            <x14:dxf>
              <font>
                <color theme="0"/>
              </font>
              <fill>
                <patternFill patternType="none">
                  <fgColor auto="1"/>
                  <bgColor auto="1"/>
                </patternFill>
              </fill>
            </x14:dxf>
          </x14:cfRule>
          <xm:sqref>I32:J32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1E459C25-C703-41BE-9103-58969278DC45}">
          <x14:formula1>
            <xm:f>Data!$A$5:$A$8</xm:f>
          </x14:formula1>
          <xm:sqref>E153:E154</xm:sqref>
        </x14:dataValidation>
        <x14:dataValidation type="list" allowBlank="1" showInputMessage="1" showErrorMessage="1" xr:uid="{D88219EE-3797-4BF6-A95A-D9FAF34E9CC6}">
          <x14:formula1>
            <xm:f>Data!$L$5:$L$7</xm:f>
          </x14:formula1>
          <xm:sqref>A99 F61 A61</xm:sqref>
        </x14:dataValidation>
        <x14:dataValidation type="list" allowBlank="1" showInputMessage="1" showErrorMessage="1" xr:uid="{96023D49-E90C-4CCC-90A7-DCDACE0DB89C}">
          <x14:formula1>
            <xm:f>Data!$I$18:$I$21</xm:f>
          </x14:formula1>
          <xm:sqref>F132:F134</xm:sqref>
        </x14:dataValidation>
        <x14:dataValidation type="list" allowBlank="1" showInputMessage="1" showErrorMessage="1" xr:uid="{52568309-7994-4E59-B45B-B5408C9BE44B}">
          <x14:formula1>
            <xm:f>Data!$A$10:$A$13</xm:f>
          </x14:formula1>
          <xm:sqref>G106:H107</xm:sqref>
        </x14:dataValidation>
        <x14:dataValidation type="list" allowBlank="1" showInputMessage="1" showErrorMessage="1" xr:uid="{5F5468CF-E991-4AAF-B39E-35CAE2FAC066}">
          <x14:formula1>
            <xm:f>Data!$A$5:$A$7</xm:f>
          </x14:formula1>
          <xm:sqref>K21 K55 K92 K124 K145</xm:sqref>
        </x14:dataValidation>
        <x14:dataValidation type="list" allowBlank="1" showDropDown="1" showInputMessage="1" showErrorMessage="1" xr:uid="{78F2187D-B22E-494C-A424-0613446BA58E}">
          <x14:formula1>
            <xm:f>Data!$A$5:$A$7</xm:f>
          </x14:formula1>
          <xm:sqref>L21:O21</xm:sqref>
        </x14:dataValidation>
        <x14:dataValidation type="list" allowBlank="1" showInputMessage="1" showErrorMessage="1" xr:uid="{E578D8C5-6FE2-4789-8505-A0211399F9CB}">
          <x14:formula1>
            <xm:f>Data!$L$18:$L$20</xm:f>
          </x14:formula1>
          <xm:sqref>A26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16CED-9A78-4A9B-885B-3A213E9E80FF}">
  <sheetPr>
    <tabColor rgb="FF92D050"/>
  </sheetPr>
  <dimension ref="A1:P76"/>
  <sheetViews>
    <sheetView topLeftCell="A7" zoomScaleNormal="100" workbookViewId="0">
      <selection activeCell="K78" sqref="K78"/>
    </sheetView>
  </sheetViews>
  <sheetFormatPr defaultColWidth="9.140625" defaultRowHeight="15" x14ac:dyDescent="0.25"/>
  <cols>
    <col min="1" max="15" width="14.140625" style="170" customWidth="1"/>
    <col min="16" max="16384" width="9.140625" style="170"/>
  </cols>
  <sheetData>
    <row r="1" spans="1:16" x14ac:dyDescent="0.25">
      <c r="A1" s="24" t="s">
        <v>1</v>
      </c>
      <c r="B1" s="25"/>
      <c r="C1" s="462" t="str">
        <f>Oplysningsside!B2</f>
        <v/>
      </c>
      <c r="D1" s="462"/>
      <c r="E1" s="462"/>
      <c r="F1" s="25"/>
      <c r="G1" s="27" t="s">
        <v>3</v>
      </c>
      <c r="H1" s="25"/>
      <c r="I1" s="462" t="str">
        <f>Oplysningsside!E2</f>
        <v/>
      </c>
      <c r="J1" s="462"/>
      <c r="K1" s="462"/>
      <c r="L1" s="27" t="s">
        <v>424</v>
      </c>
      <c r="M1" s="25"/>
      <c r="N1" s="420" t="str">
        <f>Oplysningsside!G2</f>
        <v/>
      </c>
      <c r="O1" s="467"/>
    </row>
    <row r="2" spans="1:16" x14ac:dyDescent="0.25">
      <c r="A2" s="29" t="s">
        <v>68</v>
      </c>
      <c r="B2" s="30"/>
      <c r="C2" s="463" t="str">
        <f>Oplysningsside!B3</f>
        <v/>
      </c>
      <c r="D2" s="463"/>
      <c r="E2" s="463"/>
      <c r="F2" s="30"/>
      <c r="G2" s="212" t="s">
        <v>125</v>
      </c>
      <c r="H2" s="212"/>
      <c r="I2" s="463" t="str">
        <f>Oplysningsside!E3</f>
        <v>Bi-plan</v>
      </c>
      <c r="J2" s="463"/>
      <c r="K2" s="463"/>
      <c r="L2" s="32" t="s">
        <v>6</v>
      </c>
      <c r="M2" s="30"/>
      <c r="N2" s="468" t="str">
        <f>Oplysningsside!G3</f>
        <v/>
      </c>
      <c r="O2" s="469"/>
    </row>
    <row r="3" spans="1:16" x14ac:dyDescent="0.25">
      <c r="A3" s="34" t="s">
        <v>67</v>
      </c>
      <c r="B3" s="30"/>
      <c r="C3" s="463" t="str">
        <f>Oplysningsside!B4</f>
        <v/>
      </c>
      <c r="D3" s="463"/>
      <c r="E3" s="463"/>
      <c r="F3" s="30"/>
      <c r="G3" s="32" t="s">
        <v>5</v>
      </c>
      <c r="H3" s="30"/>
      <c r="I3" s="463" t="str">
        <f>Oplysningsside!E4</f>
        <v/>
      </c>
      <c r="J3" s="463"/>
      <c r="K3" s="463"/>
      <c r="L3" s="32" t="s">
        <v>8</v>
      </c>
      <c r="M3" s="30"/>
      <c r="N3" s="421" t="str">
        <f>Oplysningsside!G4</f>
        <v/>
      </c>
      <c r="O3" s="470"/>
    </row>
    <row r="4" spans="1:16" x14ac:dyDescent="0.25">
      <c r="A4" s="29" t="s">
        <v>9</v>
      </c>
      <c r="B4" s="30"/>
      <c r="C4" s="464" t="str">
        <f>Oplysningsside!B5</f>
        <v/>
      </c>
      <c r="D4" s="464"/>
      <c r="E4" s="464"/>
      <c r="F4" s="30"/>
      <c r="G4" s="32" t="s">
        <v>7</v>
      </c>
      <c r="H4" s="30"/>
      <c r="I4" s="473" t="str">
        <f>Oplysningsside!E5</f>
        <v/>
      </c>
      <c r="J4" s="473"/>
      <c r="K4" s="473"/>
      <c r="L4" s="30" t="s">
        <v>11</v>
      </c>
      <c r="M4" s="30"/>
      <c r="N4" s="468" t="str">
        <f>Oplysningsside!G5</f>
        <v/>
      </c>
      <c r="O4" s="469"/>
    </row>
    <row r="5" spans="1:16" x14ac:dyDescent="0.25">
      <c r="A5" s="8" t="s">
        <v>517</v>
      </c>
      <c r="B5" s="35"/>
      <c r="C5" s="465" t="str">
        <f>Oplysningsside!$B$6</f>
        <v/>
      </c>
      <c r="D5" s="465"/>
      <c r="E5" s="465"/>
      <c r="F5" s="35"/>
      <c r="G5" s="9" t="s">
        <v>423</v>
      </c>
      <c r="H5" s="35"/>
      <c r="I5" s="474" t="str">
        <f>Oplysningsside!E6</f>
        <v/>
      </c>
      <c r="J5" s="474"/>
      <c r="K5" s="474"/>
      <c r="L5" s="35"/>
      <c r="M5" s="35"/>
      <c r="N5" s="465"/>
      <c r="O5" s="471"/>
    </row>
    <row r="7" spans="1:16" ht="26.25" x14ac:dyDescent="0.4">
      <c r="A7" s="37" t="s">
        <v>201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40" t="s">
        <v>2</v>
      </c>
      <c r="O7" s="38"/>
    </row>
    <row r="9" spans="1:16" ht="18.75" x14ac:dyDescent="0.3">
      <c r="A9" s="43" t="s">
        <v>223</v>
      </c>
      <c r="B9" s="45"/>
      <c r="C9" s="45"/>
      <c r="D9" s="45"/>
      <c r="E9" s="43" t="s">
        <v>632</v>
      </c>
      <c r="F9" s="45"/>
      <c r="G9" s="45"/>
      <c r="H9" s="45"/>
      <c r="I9" s="45"/>
      <c r="J9" s="45"/>
      <c r="K9" s="45"/>
      <c r="L9" s="45"/>
      <c r="M9" s="45"/>
      <c r="N9" s="45"/>
      <c r="O9" s="45"/>
      <c r="P9" s="51"/>
    </row>
    <row r="11" spans="1:16" x14ac:dyDescent="0.25">
      <c r="A11" s="46" t="s">
        <v>135</v>
      </c>
      <c r="B11" s="47"/>
      <c r="C11" s="47"/>
      <c r="D11" s="47"/>
      <c r="E11" s="47"/>
      <c r="F11" s="47"/>
      <c r="G11" s="47"/>
      <c r="H11" s="47"/>
      <c r="I11" s="47"/>
      <c r="J11" s="47"/>
      <c r="K11" s="68" t="s">
        <v>90</v>
      </c>
      <c r="L11" s="47"/>
      <c r="M11" s="47"/>
      <c r="N11" s="47"/>
      <c r="O11" s="47"/>
    </row>
    <row r="12" spans="1:16" x14ac:dyDescent="0.25">
      <c r="A12" s="48" t="s">
        <v>40</v>
      </c>
      <c r="B12" s="49" t="s">
        <v>231</v>
      </c>
      <c r="C12" s="49"/>
      <c r="D12" s="49"/>
      <c r="E12" s="49"/>
      <c r="F12" s="49"/>
      <c r="G12" s="49"/>
      <c r="H12" s="49"/>
      <c r="I12" s="49"/>
      <c r="J12" s="264"/>
      <c r="K12" s="453"/>
      <c r="L12" s="454"/>
      <c r="M12" s="454"/>
      <c r="N12" s="454"/>
      <c r="O12" s="455"/>
    </row>
    <row r="13" spans="1:16" x14ac:dyDescent="0.25">
      <c r="A13" s="50" t="s">
        <v>646</v>
      </c>
      <c r="B13" s="51" t="s">
        <v>524</v>
      </c>
      <c r="C13" s="51"/>
      <c r="D13" s="51"/>
      <c r="E13" s="51"/>
      <c r="F13" s="51"/>
      <c r="G13" s="51"/>
      <c r="H13" s="51"/>
      <c r="I13" s="51"/>
      <c r="J13" s="82"/>
      <c r="K13" s="441"/>
      <c r="L13" s="442"/>
      <c r="M13" s="442"/>
      <c r="N13" s="442"/>
      <c r="O13" s="443"/>
    </row>
    <row r="14" spans="1:16" x14ac:dyDescent="0.25">
      <c r="A14" s="50" t="s">
        <v>639</v>
      </c>
      <c r="B14" s="51" t="s">
        <v>142</v>
      </c>
      <c r="C14" s="51"/>
      <c r="D14" s="51"/>
      <c r="E14" s="51"/>
      <c r="F14" s="51"/>
      <c r="G14" s="51"/>
      <c r="H14" s="51"/>
      <c r="I14" s="51"/>
      <c r="J14" s="82"/>
      <c r="K14" s="441"/>
      <c r="L14" s="442"/>
      <c r="M14" s="442"/>
      <c r="N14" s="442"/>
      <c r="O14" s="443"/>
    </row>
    <row r="15" spans="1:16" x14ac:dyDescent="0.25">
      <c r="A15" s="50"/>
      <c r="B15" s="51" t="s">
        <v>525</v>
      </c>
      <c r="C15" s="51"/>
      <c r="D15" s="51"/>
      <c r="E15" s="51"/>
      <c r="F15" s="51"/>
      <c r="G15" s="51"/>
      <c r="H15" s="51"/>
      <c r="I15" s="51"/>
      <c r="J15" s="82"/>
      <c r="K15" s="441"/>
      <c r="L15" s="442"/>
      <c r="M15" s="442"/>
      <c r="N15" s="442"/>
      <c r="O15" s="443"/>
    </row>
    <row r="16" spans="1:16" x14ac:dyDescent="0.25">
      <c r="A16" s="50"/>
      <c r="B16" s="23" t="s">
        <v>224</v>
      </c>
      <c r="C16" s="51"/>
      <c r="D16" s="51"/>
      <c r="E16" s="51"/>
      <c r="F16" s="51"/>
      <c r="G16" s="51"/>
      <c r="H16" s="51"/>
      <c r="I16" s="51"/>
      <c r="J16" s="82"/>
      <c r="K16" s="441"/>
      <c r="L16" s="442"/>
      <c r="M16" s="442"/>
      <c r="N16" s="442"/>
      <c r="O16" s="443"/>
    </row>
    <row r="17" spans="1:15" x14ac:dyDescent="0.25">
      <c r="A17" s="50"/>
      <c r="B17" s="51" t="s">
        <v>526</v>
      </c>
      <c r="C17" s="51"/>
      <c r="D17" s="51"/>
      <c r="E17" s="51"/>
      <c r="F17" s="51"/>
      <c r="G17" s="51"/>
      <c r="H17" s="51"/>
      <c r="I17" s="51"/>
      <c r="J17" s="82"/>
      <c r="K17" s="441"/>
      <c r="L17" s="442"/>
      <c r="M17" s="442"/>
      <c r="N17" s="442"/>
      <c r="O17" s="443"/>
    </row>
    <row r="18" spans="1:15" x14ac:dyDescent="0.25">
      <c r="A18" s="50"/>
      <c r="B18" s="51" t="s">
        <v>714</v>
      </c>
      <c r="C18" s="51"/>
      <c r="D18" s="51"/>
      <c r="E18" s="51"/>
      <c r="F18" s="51"/>
      <c r="G18" s="51"/>
      <c r="H18" s="51"/>
      <c r="I18" s="51"/>
      <c r="J18" s="82"/>
      <c r="K18" s="441"/>
      <c r="L18" s="442"/>
      <c r="M18" s="442"/>
      <c r="N18" s="442"/>
      <c r="O18" s="443"/>
    </row>
    <row r="19" spans="1:15" x14ac:dyDescent="0.25">
      <c r="A19" s="50"/>
      <c r="B19" s="23" t="s">
        <v>225</v>
      </c>
      <c r="C19" s="51"/>
      <c r="D19" s="51"/>
      <c r="E19" s="51"/>
      <c r="F19" s="51"/>
      <c r="G19" s="51"/>
      <c r="H19" s="51"/>
      <c r="I19" s="51"/>
      <c r="J19" s="82"/>
      <c r="K19" s="441"/>
      <c r="L19" s="442"/>
      <c r="M19" s="442"/>
      <c r="N19" s="442"/>
      <c r="O19" s="443"/>
    </row>
    <row r="20" spans="1:15" x14ac:dyDescent="0.25">
      <c r="A20" s="50"/>
      <c r="B20" s="51" t="s">
        <v>226</v>
      </c>
      <c r="C20" s="51"/>
      <c r="D20" s="51"/>
      <c r="E20" s="51"/>
      <c r="F20" s="51"/>
      <c r="G20" s="51"/>
      <c r="H20" s="51"/>
      <c r="I20" s="51"/>
      <c r="J20" s="82"/>
      <c r="K20" s="441"/>
      <c r="L20" s="442"/>
      <c r="M20" s="442"/>
      <c r="N20" s="442"/>
      <c r="O20" s="443"/>
    </row>
    <row r="21" spans="1:15" x14ac:dyDescent="0.25">
      <c r="A21" s="50"/>
      <c r="B21" s="23" t="s">
        <v>715</v>
      </c>
      <c r="C21" s="51"/>
      <c r="D21" s="51"/>
      <c r="E21" s="51"/>
      <c r="F21" s="51"/>
      <c r="G21" s="51"/>
      <c r="H21" s="51"/>
      <c r="I21" s="51"/>
      <c r="J21" s="82"/>
      <c r="K21" s="441"/>
      <c r="L21" s="442"/>
      <c r="M21" s="442"/>
      <c r="N21" s="442"/>
      <c r="O21" s="443"/>
    </row>
    <row r="22" spans="1:15" x14ac:dyDescent="0.25">
      <c r="A22" s="50"/>
      <c r="B22" s="51" t="s">
        <v>644</v>
      </c>
      <c r="C22" s="51"/>
      <c r="D22" s="51"/>
      <c r="E22" s="51"/>
      <c r="F22" s="51"/>
      <c r="G22" s="51"/>
      <c r="H22" s="51"/>
      <c r="I22" s="51"/>
      <c r="J22" s="82"/>
      <c r="K22" s="441"/>
      <c r="L22" s="442"/>
      <c r="M22" s="442"/>
      <c r="N22" s="442"/>
      <c r="O22" s="443"/>
    </row>
    <row r="23" spans="1:15" x14ac:dyDescent="0.25">
      <c r="A23" s="50"/>
      <c r="B23" s="51" t="s">
        <v>645</v>
      </c>
      <c r="C23" s="51"/>
      <c r="D23" s="51"/>
      <c r="E23" s="51"/>
      <c r="F23" s="51"/>
      <c r="G23" s="51"/>
      <c r="H23" s="51"/>
      <c r="I23" s="51"/>
      <c r="J23" s="82"/>
      <c r="K23" s="441"/>
      <c r="L23" s="442"/>
      <c r="M23" s="442"/>
      <c r="N23" s="442"/>
      <c r="O23" s="443"/>
    </row>
    <row r="24" spans="1:15" x14ac:dyDescent="0.25">
      <c r="A24" s="50"/>
      <c r="B24" s="23" t="s">
        <v>716</v>
      </c>
      <c r="C24" s="51"/>
      <c r="D24" s="51"/>
      <c r="E24" s="51"/>
      <c r="F24" s="51"/>
      <c r="G24" s="51"/>
      <c r="H24" s="51"/>
      <c r="I24" s="51"/>
      <c r="J24" s="82"/>
      <c r="K24" s="441"/>
      <c r="L24" s="442"/>
      <c r="M24" s="442"/>
      <c r="N24" s="442"/>
      <c r="O24" s="443"/>
    </row>
    <row r="25" spans="1:15" x14ac:dyDescent="0.25">
      <c r="A25" s="50"/>
      <c r="B25" s="51" t="s">
        <v>717</v>
      </c>
      <c r="C25" s="51"/>
      <c r="D25" s="51"/>
      <c r="E25" s="51"/>
      <c r="F25" s="51"/>
      <c r="G25" s="51"/>
      <c r="H25" s="51"/>
      <c r="I25" s="51"/>
      <c r="J25" s="82"/>
      <c r="K25" s="441"/>
      <c r="L25" s="442"/>
      <c r="M25" s="442"/>
      <c r="N25" s="442"/>
      <c r="O25" s="443"/>
    </row>
    <row r="26" spans="1:15" x14ac:dyDescent="0.25">
      <c r="A26" s="52" t="s">
        <v>41</v>
      </c>
      <c r="B26" s="72" t="s">
        <v>718</v>
      </c>
      <c r="C26" s="72"/>
      <c r="D26" s="72"/>
      <c r="E26" s="72"/>
      <c r="F26" s="72"/>
      <c r="G26" s="72"/>
      <c r="H26" s="72"/>
      <c r="I26" s="72"/>
      <c r="J26" s="83"/>
      <c r="K26" s="444"/>
      <c r="L26" s="445"/>
      <c r="M26" s="445"/>
      <c r="N26" s="445"/>
      <c r="O26" s="446"/>
    </row>
    <row r="27" spans="1:15" x14ac:dyDescent="0.25">
      <c r="A27" s="229" t="s">
        <v>659</v>
      </c>
      <c r="B27" s="216" t="s">
        <v>660</v>
      </c>
      <c r="C27" s="216"/>
      <c r="D27" s="216"/>
      <c r="E27" s="216"/>
      <c r="F27" s="216"/>
      <c r="G27" s="216"/>
      <c r="H27" s="216"/>
      <c r="I27" s="49"/>
      <c r="J27" s="373" t="s">
        <v>684</v>
      </c>
      <c r="K27" s="200"/>
      <c r="L27" s="349"/>
      <c r="M27" s="349"/>
      <c r="N27" s="349"/>
      <c r="O27" s="350"/>
    </row>
    <row r="28" spans="1:15" x14ac:dyDescent="0.25">
      <c r="A28" s="81"/>
      <c r="B28" s="168" t="s">
        <v>661</v>
      </c>
      <c r="C28" s="168"/>
      <c r="D28" s="168"/>
      <c r="E28" s="168"/>
      <c r="F28" s="168"/>
      <c r="G28" s="168"/>
      <c r="H28" s="168"/>
      <c r="I28" s="72"/>
      <c r="J28" s="374" t="s">
        <v>662</v>
      </c>
      <c r="K28" s="444"/>
      <c r="L28" s="445"/>
      <c r="M28" s="445"/>
      <c r="N28" s="445"/>
      <c r="O28" s="446"/>
    </row>
    <row r="29" spans="1:15" x14ac:dyDescent="0.25">
      <c r="A29" s="51"/>
      <c r="I29" s="44"/>
      <c r="J29" s="44"/>
      <c r="K29" s="44"/>
      <c r="L29" s="44"/>
      <c r="M29" s="44"/>
      <c r="N29" s="44"/>
      <c r="O29" s="44"/>
    </row>
    <row r="30" spans="1:15" x14ac:dyDescent="0.25">
      <c r="A30" s="53" t="s">
        <v>227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</row>
    <row r="32" spans="1:15" x14ac:dyDescent="0.25">
      <c r="A32" s="105"/>
      <c r="B32" s="240" t="s">
        <v>43</v>
      </c>
      <c r="C32" s="49"/>
      <c r="D32" s="49"/>
      <c r="E32" s="217"/>
      <c r="F32" s="105"/>
      <c r="G32" s="236" t="s">
        <v>43</v>
      </c>
      <c r="H32" s="49"/>
      <c r="I32" s="49"/>
      <c r="J32" s="217"/>
    </row>
    <row r="33" spans="1:16" x14ac:dyDescent="0.25">
      <c r="A33" s="106"/>
      <c r="B33" s="238" t="s">
        <v>110</v>
      </c>
      <c r="C33" s="51"/>
      <c r="D33" s="51"/>
      <c r="E33" s="226"/>
      <c r="F33" s="106"/>
      <c r="G33" s="238" t="s">
        <v>110</v>
      </c>
      <c r="H33" s="51"/>
      <c r="I33" s="51"/>
      <c r="J33" s="226"/>
      <c r="L33" s="135"/>
    </row>
    <row r="34" spans="1:16" x14ac:dyDescent="0.25">
      <c r="A34" s="106"/>
      <c r="B34" s="238" t="s">
        <v>111</v>
      </c>
      <c r="C34" s="51"/>
      <c r="D34" s="51"/>
      <c r="E34" s="226"/>
      <c r="F34" s="106"/>
      <c r="G34" s="238" t="s">
        <v>111</v>
      </c>
      <c r="H34" s="51"/>
      <c r="I34" s="51"/>
      <c r="J34" s="226"/>
      <c r="L34" s="359"/>
      <c r="M34" s="360"/>
    </row>
    <row r="35" spans="1:16" x14ac:dyDescent="0.25">
      <c r="A35" s="106"/>
      <c r="B35" s="238" t="s">
        <v>228</v>
      </c>
      <c r="C35" s="51"/>
      <c r="D35" s="51"/>
      <c r="E35" s="226"/>
      <c r="F35" s="106"/>
      <c r="G35" s="238" t="s">
        <v>228</v>
      </c>
      <c r="H35" s="51"/>
      <c r="I35" s="51"/>
      <c r="J35" s="226"/>
      <c r="L35" s="213"/>
    </row>
    <row r="36" spans="1:16" x14ac:dyDescent="0.25">
      <c r="A36" s="127" t="s">
        <v>437</v>
      </c>
      <c r="B36" s="231" t="s">
        <v>440</v>
      </c>
      <c r="C36" s="72"/>
      <c r="D36" s="72"/>
      <c r="E36" s="232"/>
      <c r="F36" s="127" t="s">
        <v>438</v>
      </c>
      <c r="G36" s="231" t="s">
        <v>441</v>
      </c>
      <c r="H36" s="72"/>
      <c r="I36" s="72"/>
      <c r="J36" s="232"/>
    </row>
    <row r="37" spans="1:16" x14ac:dyDescent="0.25">
      <c r="A37" s="55" t="s">
        <v>42</v>
      </c>
      <c r="B37" s="55" t="s">
        <v>44</v>
      </c>
      <c r="C37" s="55" t="s">
        <v>83</v>
      </c>
      <c r="D37" s="55" t="s">
        <v>96</v>
      </c>
      <c r="E37" s="55" t="s">
        <v>136</v>
      </c>
      <c r="F37" s="55" t="s">
        <v>42</v>
      </c>
      <c r="G37" s="55" t="s">
        <v>44</v>
      </c>
      <c r="H37" s="55" t="s">
        <v>83</v>
      </c>
      <c r="I37" s="55" t="s">
        <v>96</v>
      </c>
      <c r="J37" s="55" t="s">
        <v>136</v>
      </c>
      <c r="L37" s="213"/>
    </row>
    <row r="38" spans="1:16" x14ac:dyDescent="0.25">
      <c r="A38" s="57"/>
      <c r="B38" s="57" t="s">
        <v>95</v>
      </c>
      <c r="C38" s="56" t="s">
        <v>59</v>
      </c>
      <c r="D38" s="56" t="s">
        <v>52</v>
      </c>
      <c r="E38" s="57" t="s">
        <v>123</v>
      </c>
      <c r="F38" s="56"/>
      <c r="G38" s="56" t="s">
        <v>95</v>
      </c>
      <c r="H38" s="56" t="s">
        <v>59</v>
      </c>
      <c r="I38" s="56" t="s">
        <v>52</v>
      </c>
      <c r="J38" s="57" t="s">
        <v>123</v>
      </c>
    </row>
    <row r="39" spans="1:16" x14ac:dyDescent="0.25">
      <c r="A39" s="133">
        <v>1</v>
      </c>
      <c r="B39" s="105"/>
      <c r="C39" s="105"/>
      <c r="D39" s="220" t="str">
        <f>IF(OR(B39="",C39=""),"",ABS(C39/B39-1)*100)</f>
        <v/>
      </c>
      <c r="E39" s="133" t="str">
        <f>IF(OR(B39="",C39=""),"",IF(D39&gt;8,"IKKE OK","OK"))</f>
        <v/>
      </c>
      <c r="F39" s="133">
        <v>1</v>
      </c>
      <c r="G39" s="105"/>
      <c r="H39" s="105"/>
      <c r="I39" s="220" t="str">
        <f>IF(OR(G39="",H39=""),"",ABS(H39/G39-1)*100)</f>
        <v/>
      </c>
      <c r="J39" s="133" t="str">
        <f>IF(OR(G39="",H39=""),"",IF(I39&gt;8,"IKKE OK","OK"))</f>
        <v/>
      </c>
      <c r="L39" s="213"/>
    </row>
    <row r="40" spans="1:16" x14ac:dyDescent="0.25">
      <c r="A40" s="222">
        <v>2</v>
      </c>
      <c r="B40" s="106"/>
      <c r="C40" s="106"/>
      <c r="D40" s="120" t="str">
        <f t="shared" ref="D40:D43" si="0">IF(OR(B40="",C40=""),"",ABS(C40/B40-1)*100)</f>
        <v/>
      </c>
      <c r="E40" s="222" t="str">
        <f t="shared" ref="E40:E43" si="1">IF(OR(B40="",C40=""),"",IF(D40&gt;8,"IKKE OK","OK"))</f>
        <v/>
      </c>
      <c r="F40" s="222">
        <v>2</v>
      </c>
      <c r="G40" s="106"/>
      <c r="H40" s="106"/>
      <c r="I40" s="120" t="str">
        <f t="shared" ref="I40:I43" si="2">IF(OR(G40="",H40=""),"",ABS(H40/G40-1)*100)</f>
        <v/>
      </c>
      <c r="J40" s="222" t="str">
        <f t="shared" ref="J40:J43" si="3">IF(OR(G40="",H40=""),"",IF(I40&gt;8,"IKKE OK","OK"))</f>
        <v/>
      </c>
    </row>
    <row r="41" spans="1:16" x14ac:dyDescent="0.25">
      <c r="A41" s="222">
        <v>3</v>
      </c>
      <c r="B41" s="106"/>
      <c r="C41" s="106"/>
      <c r="D41" s="120" t="str">
        <f t="shared" si="0"/>
        <v/>
      </c>
      <c r="E41" s="222" t="str">
        <f t="shared" si="1"/>
        <v/>
      </c>
      <c r="F41" s="222">
        <v>3</v>
      </c>
      <c r="G41" s="106"/>
      <c r="H41" s="106"/>
      <c r="I41" s="120" t="str">
        <f t="shared" si="2"/>
        <v/>
      </c>
      <c r="J41" s="222" t="str">
        <f t="shared" si="3"/>
        <v/>
      </c>
    </row>
    <row r="42" spans="1:16" x14ac:dyDescent="0.25">
      <c r="A42" s="222">
        <v>4</v>
      </c>
      <c r="B42" s="106"/>
      <c r="C42" s="106"/>
      <c r="D42" s="120" t="str">
        <f t="shared" si="0"/>
        <v/>
      </c>
      <c r="E42" s="222" t="str">
        <f t="shared" si="1"/>
        <v/>
      </c>
      <c r="F42" s="222">
        <v>4</v>
      </c>
      <c r="G42" s="106"/>
      <c r="H42" s="106"/>
      <c r="I42" s="120" t="str">
        <f t="shared" si="2"/>
        <v/>
      </c>
      <c r="J42" s="222" t="str">
        <f t="shared" si="3"/>
        <v/>
      </c>
    </row>
    <row r="43" spans="1:16" x14ac:dyDescent="0.25">
      <c r="A43" s="134">
        <v>5</v>
      </c>
      <c r="B43" s="107"/>
      <c r="C43" s="107"/>
      <c r="D43" s="127" t="str">
        <f t="shared" si="0"/>
        <v/>
      </c>
      <c r="E43" s="134" t="str">
        <f t="shared" si="1"/>
        <v/>
      </c>
      <c r="F43" s="134">
        <v>5</v>
      </c>
      <c r="G43" s="107"/>
      <c r="H43" s="107"/>
      <c r="I43" s="127" t="str">
        <f t="shared" si="2"/>
        <v/>
      </c>
      <c r="J43" s="134" t="str">
        <f t="shared" si="3"/>
        <v/>
      </c>
    </row>
    <row r="44" spans="1:16" x14ac:dyDescent="0.25">
      <c r="F44" s="51"/>
    </row>
    <row r="47" spans="1:16" ht="18.75" x14ac:dyDescent="0.3">
      <c r="A47" s="43" t="s">
        <v>381</v>
      </c>
      <c r="B47" s="45"/>
      <c r="C47" s="45"/>
      <c r="D47" s="45"/>
      <c r="E47" s="124" t="s">
        <v>433</v>
      </c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51"/>
    </row>
    <row r="49" spans="1:15" x14ac:dyDescent="0.25">
      <c r="A49" s="46" t="s">
        <v>144</v>
      </c>
      <c r="B49" s="47"/>
      <c r="C49" s="47"/>
      <c r="D49" s="47"/>
      <c r="E49" s="47"/>
      <c r="F49" s="47"/>
      <c r="G49" s="47"/>
      <c r="H49" s="47"/>
      <c r="I49" s="47"/>
      <c r="J49" s="47"/>
      <c r="K49" s="68" t="s">
        <v>90</v>
      </c>
      <c r="L49" s="47"/>
      <c r="M49" s="47"/>
      <c r="N49" s="47"/>
      <c r="O49" s="47"/>
    </row>
    <row r="50" spans="1:15" x14ac:dyDescent="0.25">
      <c r="A50" s="48" t="s">
        <v>40</v>
      </c>
      <c r="B50" s="49" t="s">
        <v>231</v>
      </c>
      <c r="C50" s="49"/>
      <c r="D50" s="49"/>
      <c r="E50" s="49"/>
      <c r="F50" s="49"/>
      <c r="G50" s="49"/>
      <c r="H50" s="49"/>
      <c r="I50" s="49"/>
      <c r="J50" s="264"/>
      <c r="K50" s="453"/>
      <c r="L50" s="454"/>
      <c r="M50" s="454"/>
      <c r="N50" s="454"/>
      <c r="O50" s="455"/>
    </row>
    <row r="51" spans="1:15" x14ac:dyDescent="0.25">
      <c r="A51" s="50" t="s">
        <v>646</v>
      </c>
      <c r="B51" s="51" t="s">
        <v>719</v>
      </c>
      <c r="C51" s="51"/>
      <c r="D51" s="51"/>
      <c r="E51" s="51"/>
      <c r="F51" s="51"/>
      <c r="G51" s="51"/>
      <c r="H51" s="51"/>
      <c r="I51" s="51"/>
      <c r="J51" s="82"/>
      <c r="K51" s="441"/>
      <c r="L51" s="442"/>
      <c r="M51" s="442"/>
      <c r="N51" s="442"/>
      <c r="O51" s="443"/>
    </row>
    <row r="52" spans="1:15" x14ac:dyDescent="0.25">
      <c r="A52" s="50" t="s">
        <v>639</v>
      </c>
      <c r="B52" s="51" t="s">
        <v>720</v>
      </c>
      <c r="C52" s="51"/>
      <c r="D52" s="51"/>
      <c r="E52" s="51"/>
      <c r="F52" s="51"/>
      <c r="G52" s="51"/>
      <c r="H52" s="51"/>
      <c r="I52" s="51"/>
      <c r="J52" s="82"/>
      <c r="K52" s="441"/>
      <c r="L52" s="442"/>
      <c r="M52" s="442"/>
      <c r="N52" s="442"/>
      <c r="O52" s="443"/>
    </row>
    <row r="53" spans="1:15" x14ac:dyDescent="0.25">
      <c r="A53" s="50"/>
      <c r="B53" s="51" t="s">
        <v>721</v>
      </c>
      <c r="C53" s="51"/>
      <c r="D53" s="51"/>
      <c r="E53" s="51"/>
      <c r="F53" s="51"/>
      <c r="G53" s="51"/>
      <c r="H53" s="51"/>
      <c r="I53" s="51"/>
      <c r="J53" s="82"/>
      <c r="K53" s="441"/>
      <c r="L53" s="442"/>
      <c r="M53" s="442"/>
      <c r="N53" s="442"/>
      <c r="O53" s="443"/>
    </row>
    <row r="54" spans="1:15" x14ac:dyDescent="0.25">
      <c r="A54" s="50"/>
      <c r="B54" s="51" t="s">
        <v>527</v>
      </c>
      <c r="C54" s="51"/>
      <c r="D54" s="51"/>
      <c r="E54" s="51"/>
      <c r="F54" s="51"/>
      <c r="G54" s="51"/>
      <c r="H54" s="51"/>
      <c r="I54" s="51"/>
      <c r="J54" s="82"/>
      <c r="K54" s="441"/>
      <c r="L54" s="442"/>
      <c r="M54" s="442"/>
      <c r="N54" s="442"/>
      <c r="O54" s="443"/>
    </row>
    <row r="55" spans="1:15" x14ac:dyDescent="0.25">
      <c r="A55" s="50"/>
      <c r="B55" s="51" t="s">
        <v>528</v>
      </c>
      <c r="C55" s="51"/>
      <c r="D55" s="51"/>
      <c r="E55" s="51"/>
      <c r="F55" s="51"/>
      <c r="G55" s="51"/>
      <c r="H55" s="51"/>
      <c r="I55" s="51"/>
      <c r="J55" s="82"/>
      <c r="K55" s="441"/>
      <c r="L55" s="442"/>
      <c r="M55" s="442"/>
      <c r="N55" s="442"/>
      <c r="O55" s="443"/>
    </row>
    <row r="56" spans="1:15" x14ac:dyDescent="0.25">
      <c r="A56" s="50"/>
      <c r="B56" s="51" t="s">
        <v>461</v>
      </c>
      <c r="C56" s="51"/>
      <c r="D56" s="51"/>
      <c r="E56" s="51"/>
      <c r="F56" s="51"/>
      <c r="G56" s="51"/>
      <c r="H56" s="51"/>
      <c r="I56" s="51"/>
      <c r="J56" s="82"/>
      <c r="K56" s="441"/>
      <c r="L56" s="442"/>
      <c r="M56" s="442"/>
      <c r="N56" s="442"/>
      <c r="O56" s="443"/>
    </row>
    <row r="57" spans="1:15" x14ac:dyDescent="0.25">
      <c r="A57" s="50" t="s">
        <v>41</v>
      </c>
      <c r="B57" s="51" t="s">
        <v>529</v>
      </c>
      <c r="C57" s="51"/>
      <c r="D57" s="51"/>
      <c r="E57" s="51"/>
      <c r="F57" s="51"/>
      <c r="G57" s="51"/>
      <c r="H57" s="51"/>
      <c r="I57" s="51"/>
      <c r="J57" s="82"/>
      <c r="K57" s="441"/>
      <c r="L57" s="442"/>
      <c r="M57" s="442"/>
      <c r="N57" s="442"/>
      <c r="O57" s="443"/>
    </row>
    <row r="58" spans="1:15" x14ac:dyDescent="0.25">
      <c r="A58" s="50" t="s">
        <v>209</v>
      </c>
      <c r="B58" s="51" t="s">
        <v>722</v>
      </c>
      <c r="C58" s="51"/>
      <c r="D58" s="51"/>
      <c r="E58" s="51"/>
      <c r="F58" s="51"/>
      <c r="G58" s="51"/>
      <c r="H58" s="51"/>
      <c r="I58" s="51"/>
      <c r="J58" s="82"/>
      <c r="K58" s="441"/>
      <c r="L58" s="442"/>
      <c r="M58" s="442"/>
      <c r="N58" s="442"/>
      <c r="O58" s="443"/>
    </row>
    <row r="59" spans="1:15" x14ac:dyDescent="0.25">
      <c r="A59" s="52"/>
      <c r="B59" s="72" t="s">
        <v>723</v>
      </c>
      <c r="C59" s="72"/>
      <c r="D59" s="72"/>
      <c r="E59" s="72"/>
      <c r="F59" s="72"/>
      <c r="G59" s="72"/>
      <c r="H59" s="72"/>
      <c r="I59" s="72"/>
      <c r="J59" s="83"/>
      <c r="K59" s="444"/>
      <c r="L59" s="445"/>
      <c r="M59" s="445"/>
      <c r="N59" s="445"/>
      <c r="O59" s="446"/>
    </row>
    <row r="60" spans="1:15" x14ac:dyDescent="0.25">
      <c r="A60" s="229" t="s">
        <v>659</v>
      </c>
      <c r="B60" s="216" t="s">
        <v>660</v>
      </c>
      <c r="C60" s="216"/>
      <c r="D60" s="216"/>
      <c r="E60" s="216"/>
      <c r="F60" s="216"/>
      <c r="G60" s="216"/>
      <c r="H60" s="216"/>
      <c r="I60" s="49"/>
      <c r="J60" s="373" t="s">
        <v>684</v>
      </c>
      <c r="K60" s="200"/>
      <c r="L60" s="382"/>
      <c r="M60" s="382"/>
      <c r="N60" s="382"/>
      <c r="O60" s="383"/>
    </row>
    <row r="61" spans="1:15" x14ac:dyDescent="0.25">
      <c r="A61" s="81"/>
      <c r="B61" s="168" t="s">
        <v>661</v>
      </c>
      <c r="C61" s="168"/>
      <c r="D61" s="168"/>
      <c r="E61" s="168"/>
      <c r="F61" s="168"/>
      <c r="G61" s="168"/>
      <c r="H61" s="168"/>
      <c r="I61" s="72"/>
      <c r="J61" s="374" t="s">
        <v>662</v>
      </c>
      <c r="K61" s="444"/>
      <c r="L61" s="445"/>
      <c r="M61" s="445"/>
      <c r="N61" s="445"/>
      <c r="O61" s="446"/>
    </row>
    <row r="62" spans="1:15" x14ac:dyDescent="0.25">
      <c r="A62" s="51"/>
      <c r="I62" s="44"/>
      <c r="J62" s="44"/>
      <c r="K62" s="44"/>
      <c r="L62" s="44"/>
      <c r="M62" s="44"/>
      <c r="N62" s="44"/>
      <c r="O62" s="44"/>
    </row>
    <row r="63" spans="1:15" x14ac:dyDescent="0.25">
      <c r="A63" s="53" t="s">
        <v>235</v>
      </c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</row>
    <row r="65" spans="1:16" x14ac:dyDescent="0.25">
      <c r="A65" s="200"/>
      <c r="B65" s="240" t="s">
        <v>43</v>
      </c>
      <c r="C65" s="49"/>
      <c r="D65" s="49"/>
      <c r="E65" s="216"/>
      <c r="F65" s="216"/>
      <c r="G65" s="217"/>
      <c r="H65" s="105"/>
      <c r="I65" s="236" t="s">
        <v>43</v>
      </c>
      <c r="J65" s="49"/>
      <c r="K65" s="49"/>
      <c r="L65" s="216"/>
      <c r="M65" s="216"/>
      <c r="N65" s="217"/>
      <c r="P65" s="360"/>
    </row>
    <row r="66" spans="1:16" x14ac:dyDescent="0.25">
      <c r="A66" s="198"/>
      <c r="B66" s="238" t="s">
        <v>110</v>
      </c>
      <c r="C66" s="51"/>
      <c r="D66" s="51"/>
      <c r="E66" s="215"/>
      <c r="F66" s="215"/>
      <c r="G66" s="226"/>
      <c r="H66" s="198"/>
      <c r="I66" s="238" t="s">
        <v>110</v>
      </c>
      <c r="J66" s="51"/>
      <c r="K66" s="51"/>
      <c r="L66" s="215"/>
      <c r="M66" s="215"/>
      <c r="N66" s="226"/>
      <c r="P66" s="135"/>
    </row>
    <row r="67" spans="1:16" x14ac:dyDescent="0.25">
      <c r="A67" s="198"/>
      <c r="B67" s="238" t="s">
        <v>111</v>
      </c>
      <c r="C67" s="51"/>
      <c r="D67" s="51"/>
      <c r="E67" s="215"/>
      <c r="F67" s="215"/>
      <c r="G67" s="226"/>
      <c r="H67" s="198"/>
      <c r="I67" s="238" t="s">
        <v>111</v>
      </c>
      <c r="J67" s="51"/>
      <c r="K67" s="51"/>
      <c r="L67" s="215"/>
      <c r="M67" s="215"/>
      <c r="N67" s="226"/>
    </row>
    <row r="68" spans="1:16" x14ac:dyDescent="0.25">
      <c r="A68" s="198"/>
      <c r="B68" s="238" t="s">
        <v>228</v>
      </c>
      <c r="C68" s="51"/>
      <c r="D68" s="51"/>
      <c r="E68" s="215"/>
      <c r="F68" s="215"/>
      <c r="G68" s="226"/>
      <c r="H68" s="198"/>
      <c r="I68" s="238" t="s">
        <v>228</v>
      </c>
      <c r="J68" s="51"/>
      <c r="K68" s="51"/>
      <c r="L68" s="215"/>
      <c r="M68" s="215"/>
      <c r="N68" s="226"/>
    </row>
    <row r="69" spans="1:16" x14ac:dyDescent="0.25">
      <c r="A69" s="127" t="s">
        <v>437</v>
      </c>
      <c r="B69" s="231" t="s">
        <v>440</v>
      </c>
      <c r="C69" s="72"/>
      <c r="D69" s="72"/>
      <c r="E69" s="168"/>
      <c r="F69" s="168"/>
      <c r="G69" s="232"/>
      <c r="H69" s="127" t="s">
        <v>438</v>
      </c>
      <c r="I69" s="231" t="s">
        <v>441</v>
      </c>
      <c r="J69" s="72"/>
      <c r="K69" s="72"/>
      <c r="L69" s="168"/>
      <c r="M69" s="168"/>
      <c r="N69" s="232"/>
    </row>
    <row r="70" spans="1:16" x14ac:dyDescent="0.25">
      <c r="A70" s="55" t="s">
        <v>42</v>
      </c>
      <c r="B70" s="55" t="s">
        <v>44</v>
      </c>
      <c r="C70" s="55" t="s">
        <v>232</v>
      </c>
      <c r="D70" s="55" t="s">
        <v>234</v>
      </c>
      <c r="E70" s="55" t="s">
        <v>379</v>
      </c>
      <c r="F70" s="55" t="s">
        <v>136</v>
      </c>
      <c r="G70" s="55" t="s">
        <v>136</v>
      </c>
      <c r="H70" s="55" t="s">
        <v>42</v>
      </c>
      <c r="I70" s="55" t="s">
        <v>44</v>
      </c>
      <c r="J70" s="55" t="s">
        <v>232</v>
      </c>
      <c r="K70" s="55" t="s">
        <v>234</v>
      </c>
      <c r="L70" s="55" t="s">
        <v>379</v>
      </c>
      <c r="M70" s="55" t="s">
        <v>136</v>
      </c>
      <c r="N70" s="55" t="s">
        <v>136</v>
      </c>
      <c r="P70" s="213"/>
    </row>
    <row r="71" spans="1:16" x14ac:dyDescent="0.25">
      <c r="A71" s="56"/>
      <c r="B71" s="56"/>
      <c r="C71" s="56" t="s">
        <v>59</v>
      </c>
      <c r="D71" s="56" t="s">
        <v>59</v>
      </c>
      <c r="E71" s="56" t="s">
        <v>380</v>
      </c>
      <c r="F71" s="56" t="s">
        <v>380</v>
      </c>
      <c r="G71" s="56" t="s">
        <v>382</v>
      </c>
      <c r="H71" s="56"/>
      <c r="I71" s="56"/>
      <c r="J71" s="56" t="s">
        <v>59</v>
      </c>
      <c r="K71" s="56" t="s">
        <v>59</v>
      </c>
      <c r="L71" s="56" t="s">
        <v>380</v>
      </c>
      <c r="M71" s="56" t="s">
        <v>380</v>
      </c>
      <c r="N71" s="56" t="s">
        <v>382</v>
      </c>
    </row>
    <row r="72" spans="1:16" x14ac:dyDescent="0.25">
      <c r="A72" s="56"/>
      <c r="B72" s="56" t="s">
        <v>95</v>
      </c>
      <c r="C72" s="56" t="s">
        <v>233</v>
      </c>
      <c r="D72" s="56" t="s">
        <v>233</v>
      </c>
      <c r="E72" s="57" t="s">
        <v>233</v>
      </c>
      <c r="F72" s="57" t="s">
        <v>123</v>
      </c>
      <c r="G72" s="57" t="s">
        <v>123</v>
      </c>
      <c r="H72" s="56"/>
      <c r="I72" s="56" t="s">
        <v>95</v>
      </c>
      <c r="J72" s="56" t="s">
        <v>233</v>
      </c>
      <c r="K72" s="56" t="s">
        <v>233</v>
      </c>
      <c r="L72" s="57" t="s">
        <v>233</v>
      </c>
      <c r="M72" s="57" t="s">
        <v>123</v>
      </c>
      <c r="N72" s="57" t="s">
        <v>123</v>
      </c>
    </row>
    <row r="73" spans="1:16" x14ac:dyDescent="0.25">
      <c r="A73" s="133">
        <v>1</v>
      </c>
      <c r="B73" s="105"/>
      <c r="C73" s="102"/>
      <c r="D73" s="102"/>
      <c r="E73" s="133" t="str">
        <f>IF(OR(B73="",C73=""),"",VLOOKUP(B73,Data!$B$75:$C$82,2,TRUE))</f>
        <v/>
      </c>
      <c r="F73" s="133" t="str">
        <f>IF(C73="","",IF(C73&lt;E73,"IKKE OK","OK"))</f>
        <v/>
      </c>
      <c r="G73" s="133" t="str">
        <f>IF(D73="","",IF(D73&lt;2.5,"IKKE OK","OK"))</f>
        <v/>
      </c>
      <c r="H73" s="133">
        <v>1</v>
      </c>
      <c r="I73" s="105"/>
      <c r="J73" s="102"/>
      <c r="K73" s="102"/>
      <c r="L73" s="133" t="str">
        <f>IF(OR(I73="",J73=""),"",VLOOKUP(I73,Data!$B$75:$C$82,2,TRUE))</f>
        <v/>
      </c>
      <c r="M73" s="133" t="str">
        <f>IF(J73="","",IF(J73&lt;L73,"IKKE OK","OK"))</f>
        <v/>
      </c>
      <c r="N73" s="133" t="str">
        <f>IF(K73="","",IF(K73&lt;2.5,"IKKE OK","OK"))</f>
        <v/>
      </c>
      <c r="P73" s="213"/>
    </row>
    <row r="74" spans="1:16" x14ac:dyDescent="0.25">
      <c r="A74" s="134">
        <v>2</v>
      </c>
      <c r="B74" s="107"/>
      <c r="C74" s="107"/>
      <c r="D74" s="104"/>
      <c r="E74" s="134" t="str">
        <f>IF(OR(B74="",C74=""),"",VLOOKUP(B74,Data!$B$75:$C$82,2,TRUE))</f>
        <v/>
      </c>
      <c r="F74" s="134" t="str">
        <f t="shared" ref="F74" si="4">IF(C74="","",IF(C74&lt;E74,"IKKE OK","OK"))</f>
        <v/>
      </c>
      <c r="G74" s="134" t="str">
        <f>IF(D74="","",IF(D74&lt;2.5,"IKKE OK","OK"))</f>
        <v/>
      </c>
      <c r="H74" s="134">
        <v>2</v>
      </c>
      <c r="I74" s="107"/>
      <c r="J74" s="107"/>
      <c r="K74" s="104"/>
      <c r="L74" s="134" t="str">
        <f>IF(OR(I74="",J74=""),"",VLOOKUP(I74,Data!$B$75:$C$82,2,TRUE))</f>
        <v/>
      </c>
      <c r="M74" s="134" t="str">
        <f t="shared" ref="M74" si="5">IF(J74="","",IF(J74&lt;L74,"IKKE OK","OK"))</f>
        <v/>
      </c>
      <c r="N74" s="134" t="str">
        <f>IF(K74="","",IF(K74&lt;2.5,"IKKE OK","OK"))</f>
        <v/>
      </c>
    </row>
    <row r="75" spans="1:16" x14ac:dyDescent="0.25">
      <c r="F75" s="51"/>
    </row>
    <row r="76" spans="1:16" x14ac:dyDescent="0.25">
      <c r="B76" s="213"/>
      <c r="D76" s="213"/>
    </row>
  </sheetData>
  <sheetProtection sheet="1" objects="1" scenarios="1"/>
  <mergeCells count="42">
    <mergeCell ref="N1:O1"/>
    <mergeCell ref="N2:O2"/>
    <mergeCell ref="N3:O3"/>
    <mergeCell ref="N4:O4"/>
    <mergeCell ref="N5:O5"/>
    <mergeCell ref="I1:K1"/>
    <mergeCell ref="I2:K2"/>
    <mergeCell ref="I3:K3"/>
    <mergeCell ref="I4:K4"/>
    <mergeCell ref="I5:K5"/>
    <mergeCell ref="C1:E1"/>
    <mergeCell ref="C2:E2"/>
    <mergeCell ref="C3:E3"/>
    <mergeCell ref="C4:E4"/>
    <mergeCell ref="C5:E5"/>
    <mergeCell ref="K59:O59"/>
    <mergeCell ref="K61:O61"/>
    <mergeCell ref="K12:O12"/>
    <mergeCell ref="K50:O50"/>
    <mergeCell ref="K13:O13"/>
    <mergeCell ref="K54:O54"/>
    <mergeCell ref="K55:O55"/>
    <mergeCell ref="K56:O56"/>
    <mergeCell ref="K57:O57"/>
    <mergeCell ref="K58:O58"/>
    <mergeCell ref="K14:O14"/>
    <mergeCell ref="K15:O15"/>
    <mergeCell ref="K16:O16"/>
    <mergeCell ref="K17:O17"/>
    <mergeCell ref="K18:O18"/>
    <mergeCell ref="K19:O19"/>
    <mergeCell ref="K20:O20"/>
    <mergeCell ref="K21:O21"/>
    <mergeCell ref="K22:O22"/>
    <mergeCell ref="K23:O23"/>
    <mergeCell ref="K24:O24"/>
    <mergeCell ref="K25:O25"/>
    <mergeCell ref="K26:O26"/>
    <mergeCell ref="K52:O52"/>
    <mergeCell ref="K53:O53"/>
    <mergeCell ref="K51:O51"/>
    <mergeCell ref="K28:O28"/>
  </mergeCells>
  <conditionalFormatting sqref="E39:E43">
    <cfRule type="cellIs" dxfId="145" priority="29" operator="equal">
      <formula>"Kontakt MFE"</formula>
    </cfRule>
    <cfRule type="cellIs" dxfId="144" priority="47" operator="equal">
      <formula>"IKKE OK"</formula>
    </cfRule>
    <cfRule type="cellIs" dxfId="143" priority="48" operator="equal">
      <formula>"OK"</formula>
    </cfRule>
  </conditionalFormatting>
  <conditionalFormatting sqref="I39:I43">
    <cfRule type="cellIs" dxfId="138" priority="24" operator="equal">
      <formula>"Rådfør med MFE"</formula>
    </cfRule>
  </conditionalFormatting>
  <conditionalFormatting sqref="J39:J43">
    <cfRule type="cellIs" dxfId="136" priority="21" operator="equal">
      <formula>"Kontakt MFE"</formula>
    </cfRule>
    <cfRule type="cellIs" dxfId="135" priority="22" operator="equal">
      <formula>"IKKE OK"</formula>
    </cfRule>
    <cfRule type="cellIs" dxfId="134" priority="23" operator="equal">
      <formula>"OK"</formula>
    </cfRule>
  </conditionalFormatting>
  <conditionalFormatting sqref="K73:K74 D39:D43 D73:D74">
    <cfRule type="cellIs" dxfId="133" priority="49" operator="equal">
      <formula>"Rådfør med MFE"</formula>
    </cfRule>
  </conditionalFormatting>
  <conditionalFormatting sqref="F73:G74 M73:N74">
    <cfRule type="cellIs" dxfId="132" priority="27" operator="equal">
      <formula>"IKKE OK"</formula>
    </cfRule>
    <cfRule type="cellIs" dxfId="131" priority="28" operator="equal">
      <formula>"OK"</formula>
    </cfRule>
  </conditionalFormatting>
  <pageMargins left="0.7" right="0.7" top="0.75" bottom="0.75" header="0.3" footer="0.3"/>
  <pageSetup paperSize="9" orientation="portrait" r:id="rId1"/>
  <ignoredErrors>
    <ignoredError sqref="N4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69D48958-BD75-438A-B681-BD48DDC6C808}">
            <xm:f>OR(Oplysningsside!$B$15="C bue",Oplysningsside!$B$15="Mini C bue",Oplysningsside!$B$15="Intervention")</xm:f>
            <x14:dxf>
              <font>
                <color theme="0"/>
              </font>
              <fill>
                <patternFill patternType="solid">
                  <bgColor theme="0" tint="-4.9989318521683403E-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/>
                <bottom style="thin">
                  <color auto="1"/>
                </bottom>
                <vertical/>
                <horizontal/>
              </border>
            </x14:dxf>
          </x14:cfRule>
          <xm:sqref>A36</xm:sqref>
        </x14:conditionalFormatting>
        <x14:conditionalFormatting xmlns:xm="http://schemas.microsoft.com/office/excel/2006/main">
          <x14:cfRule type="expression" priority="16" id="{C21D0237-31DF-4033-9469-81CFE9115B0B}">
            <xm:f>OR(Oplysningsside!$B$15="C bue",Oplysningsside!$B$15="Mini C bue",Oplysningsside!$B$15="Intervention",Oplysningsside!$B$15="R/F system")</xm:f>
            <x14:dxf>
              <font>
                <color theme="0"/>
              </font>
              <fill>
                <patternFill patternType="solid">
                  <bgColor theme="0" tint="-4.9989318521683403E-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/>
                <bottom style="thin">
                  <color auto="1"/>
                </bottom>
                <vertical/>
                <horizontal/>
              </border>
            </x14:dxf>
          </x14:cfRule>
          <xm:sqref>A69</xm:sqref>
        </x14:conditionalFormatting>
        <x14:conditionalFormatting xmlns:xm="http://schemas.microsoft.com/office/excel/2006/main">
          <x14:cfRule type="expression" priority="25" id="{F9B6BAEF-A5A9-4EF4-9347-59CEE301FD69}">
            <xm:f>OR(Oplysningsside!$B$15="C bue",Oplysningsside!$B$15="Mini C bue",Oplysningsside!$B$15="Intervention")</xm:f>
            <x14:dxf>
              <font>
                <color theme="0"/>
              </font>
              <fill>
                <patternFill patternType="solid">
                  <bgColor theme="0" tint="-4.9989318521683403E-2"/>
                </patternFill>
              </fill>
              <border>
                <left style="thin">
                  <color auto="1"/>
                </left>
                <right/>
                <top/>
                <bottom style="thin">
                  <color auto="1"/>
                </bottom>
                <vertical/>
                <horizontal/>
              </border>
            </x14:dxf>
          </x14:cfRule>
          <xm:sqref>B36</xm:sqref>
        </x14:conditionalFormatting>
        <x14:conditionalFormatting xmlns:xm="http://schemas.microsoft.com/office/excel/2006/main">
          <x14:cfRule type="expression" priority="15" id="{1172D13C-043A-4CC5-86FE-EBBF18218855}">
            <xm:f>OR(Oplysningsside!$B$15="C bue",Oplysningsside!$B$15="Mini C bue",Oplysningsside!$B$15="Intervention",Oplysningsside!$B$15="R/F system")</xm:f>
            <x14:dxf>
              <font>
                <color theme="0"/>
              </font>
              <fill>
                <patternFill patternType="solid">
                  <bgColor theme="0" tint="-4.9989318521683403E-2"/>
                </patternFill>
              </fill>
              <border>
                <left style="thin">
                  <color auto="1"/>
                </left>
                <right/>
                <top/>
                <bottom style="thin">
                  <color auto="1"/>
                </bottom>
                <vertical/>
                <horizontal/>
              </border>
            </x14:dxf>
          </x14:cfRule>
          <xm:sqref>B69</xm:sqref>
        </x14:conditionalFormatting>
        <x14:conditionalFormatting xmlns:xm="http://schemas.microsoft.com/office/excel/2006/main">
          <x14:cfRule type="expression" priority="18" id="{73328FFE-BC3D-4E88-A126-820ED5694BD7}">
            <xm:f>OR(Oplysningsside!$B$15="C bue",Oplysningsside!$B$15="Mini C bue",Oplysningsside!$B$15="Intervention")</xm:f>
            <x14:dxf>
              <font>
                <color theme="0"/>
              </font>
              <fill>
                <patternFill patternType="none">
                  <bgColor auto="1"/>
                </patternFill>
              </fill>
              <border>
                <left style="thin">
                  <color auto="1"/>
                </left>
                <right/>
                <top/>
                <bottom/>
              </border>
            </x14:dxf>
          </x14:cfRule>
          <xm:sqref>F32:F43</xm:sqref>
        </x14:conditionalFormatting>
        <x14:conditionalFormatting xmlns:xm="http://schemas.microsoft.com/office/excel/2006/main">
          <x14:cfRule type="expression" priority="20" id="{C1CBDFAD-29EE-44E8-9AC2-E63F7801F2CF}">
            <xm:f>OR(Oplysningsside!$B$15="C bue",Oplysningsside!$B$15="Mini C bue",Oplysningsside!$B$15="Intervention")</xm:f>
            <x14:dxf>
              <font>
                <color theme="0"/>
              </font>
              <fill>
                <patternFill patternType="none">
                  <bgColor auto="1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/>
                <bottom/>
                <vertical/>
                <horizontal/>
              </border>
            </x14:dxf>
          </x14:cfRule>
          <xm:sqref>F36</xm:sqref>
        </x14:conditionalFormatting>
        <x14:conditionalFormatting xmlns:xm="http://schemas.microsoft.com/office/excel/2006/main">
          <x14:cfRule type="expression" priority="17" id="{619FF8A6-2CED-4DFC-B12F-799B757D6C97}">
            <xm:f>OR(Oplysningsside!$B$15="C bue",Oplysningsside!$B$15="Mini C bue",Oplysningsside!$B$15="Intervention")</xm:f>
            <x14:dxf>
              <font>
                <color theme="0"/>
              </font>
              <fill>
                <patternFill patternType="solid">
                  <bgColor theme="0" tint="-4.9989318521683403E-2"/>
                </patternFill>
              </fill>
              <border>
                <left/>
                <right/>
                <top/>
                <bottom/>
              </border>
            </x14:dxf>
          </x14:cfRule>
          <xm:sqref>G32:J43</xm:sqref>
        </x14:conditionalFormatting>
        <x14:conditionalFormatting xmlns:xm="http://schemas.microsoft.com/office/excel/2006/main">
          <x14:cfRule type="expression" priority="4" id="{5B036275-C82F-4446-879B-5FCDDB03381B}">
            <xm:f>OR(Oplysningsside!$B$15="C bue",Oplysningsside!$B$15="Mini C bue",Oplysningsside!$B$15="Intervention",Oplysningsside!$B$15="R/F system")</xm:f>
            <x14:dxf>
              <font>
                <color theme="0"/>
              </font>
              <fill>
                <patternFill patternType="solid">
                  <bgColor theme="0" tint="-4.9989318521683403E-2"/>
                </patternFill>
              </fill>
              <border>
                <left style="thin">
                  <color auto="1"/>
                </left>
                <right/>
                <top/>
                <bottom/>
              </border>
            </x14:dxf>
          </x14:cfRule>
          <xm:sqref>H65:H74</xm:sqref>
        </x14:conditionalFormatting>
        <x14:conditionalFormatting xmlns:xm="http://schemas.microsoft.com/office/excel/2006/main">
          <x14:cfRule type="expression" priority="1" id="{889A7C08-D94C-482F-BAE3-7BDF7F3A4462}">
            <xm:f>OR(Oplysningsside!$B$15="C bue",Oplysningsside!$B$15="Mini C bue",Oplysningsside!$B$15="Intervention",Oplysningsside!$B$15="R/F system")</xm:f>
            <x14:dxf>
              <font>
                <color theme="0"/>
              </font>
              <fill>
                <patternFill>
                  <bgColor theme="0" tint="-4.9989318521683403E-2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I65:N74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7BAA9AE-DB81-47DE-A9C8-432779C21833}">
          <x14:formula1>
            <xm:f>Data!$O$5:$O$7</xm:f>
          </x14:formula1>
          <xm:sqref>F35 H68 A68 A35</xm:sqref>
        </x14:dataValidation>
        <x14:dataValidation type="list" allowBlank="1" showInputMessage="1" showErrorMessage="1" xr:uid="{CC2F899B-F464-4166-926F-1D408BC3A0EC}">
          <x14:formula1>
            <xm:f>Data!$A$5:$A$7</xm:f>
          </x14:formula1>
          <xm:sqref>K27 K60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42ACA-C676-47BF-AB73-CD9BB715F062}">
  <sheetPr>
    <tabColor rgb="FF92D050"/>
  </sheetPr>
  <dimension ref="A1:AK336"/>
  <sheetViews>
    <sheetView topLeftCell="A317" zoomScaleNormal="100" workbookViewId="0">
      <selection activeCell="O195" sqref="O195"/>
    </sheetView>
  </sheetViews>
  <sheetFormatPr defaultColWidth="9.140625" defaultRowHeight="15" x14ac:dyDescent="0.25"/>
  <cols>
    <col min="1" max="10" width="14.42578125" style="170" customWidth="1"/>
    <col min="11" max="11" width="15.28515625" style="170" customWidth="1"/>
    <col min="12" max="14" width="14.42578125" style="170" customWidth="1"/>
    <col min="15" max="15" width="14.7109375" style="170" customWidth="1"/>
    <col min="16" max="17" width="14.42578125" style="170" customWidth="1"/>
    <col min="18" max="19" width="15.140625" style="170" customWidth="1"/>
    <col min="20" max="20" width="14.42578125" style="170" customWidth="1"/>
    <col min="21" max="21" width="14.28515625" style="170" customWidth="1"/>
    <col min="22" max="36" width="14.42578125" style="170" customWidth="1"/>
    <col min="37" max="37" width="15.42578125" style="170" customWidth="1"/>
    <col min="38" max="16384" width="9.140625" style="170"/>
  </cols>
  <sheetData>
    <row r="1" spans="1:20" x14ac:dyDescent="0.25">
      <c r="A1" s="24" t="s">
        <v>1</v>
      </c>
      <c r="B1" s="25"/>
      <c r="C1" s="462" t="str">
        <f>Oplysningsside!B2</f>
        <v/>
      </c>
      <c r="D1" s="462"/>
      <c r="E1" s="462"/>
      <c r="F1" s="25"/>
      <c r="G1" s="321"/>
      <c r="H1" s="27" t="s">
        <v>3</v>
      </c>
      <c r="I1" s="25"/>
      <c r="J1" s="462" t="str">
        <f>Oplysningsside!E2</f>
        <v/>
      </c>
      <c r="K1" s="462"/>
      <c r="L1" s="462"/>
      <c r="M1" s="25"/>
      <c r="N1" s="27" t="s">
        <v>424</v>
      </c>
      <c r="O1" s="25"/>
      <c r="P1" s="420" t="str">
        <f>Oplysningsside!G2</f>
        <v/>
      </c>
      <c r="Q1" s="467"/>
      <c r="R1" s="17"/>
      <c r="S1" s="17"/>
      <c r="T1" s="17"/>
    </row>
    <row r="2" spans="1:20" x14ac:dyDescent="0.25">
      <c r="A2" s="29" t="s">
        <v>68</v>
      </c>
      <c r="B2" s="30"/>
      <c r="C2" s="463" t="str">
        <f>Oplysningsside!B3</f>
        <v/>
      </c>
      <c r="D2" s="463"/>
      <c r="E2" s="463"/>
      <c r="F2" s="30"/>
      <c r="G2" s="322"/>
      <c r="H2" s="212" t="s">
        <v>125</v>
      </c>
      <c r="I2" s="212"/>
      <c r="J2" s="463" t="str">
        <f>Oplysningsside!E3</f>
        <v>Bi-plan</v>
      </c>
      <c r="K2" s="463"/>
      <c r="L2" s="463"/>
      <c r="M2" s="30"/>
      <c r="N2" s="32" t="s">
        <v>6</v>
      </c>
      <c r="O2" s="30"/>
      <c r="P2" s="468" t="str">
        <f>Oplysningsside!G3</f>
        <v/>
      </c>
      <c r="Q2" s="469"/>
      <c r="R2" s="17"/>
      <c r="S2" s="17"/>
      <c r="T2" s="17"/>
    </row>
    <row r="3" spans="1:20" x14ac:dyDescent="0.25">
      <c r="A3" s="34" t="s">
        <v>67</v>
      </c>
      <c r="B3" s="30"/>
      <c r="C3" s="463" t="str">
        <f>Oplysningsside!B4</f>
        <v/>
      </c>
      <c r="D3" s="463"/>
      <c r="E3" s="463"/>
      <c r="F3" s="30"/>
      <c r="G3" s="322"/>
      <c r="H3" s="32" t="s">
        <v>5</v>
      </c>
      <c r="I3" s="30"/>
      <c r="J3" s="463" t="str">
        <f>Oplysningsside!E4</f>
        <v/>
      </c>
      <c r="K3" s="463"/>
      <c r="L3" s="463"/>
      <c r="M3" s="30"/>
      <c r="N3" s="32" t="s">
        <v>8</v>
      </c>
      <c r="O3" s="30"/>
      <c r="P3" s="421" t="str">
        <f>Oplysningsside!G4</f>
        <v/>
      </c>
      <c r="Q3" s="470"/>
      <c r="R3" s="17"/>
      <c r="S3" s="17"/>
      <c r="T3" s="17"/>
    </row>
    <row r="4" spans="1:20" x14ac:dyDescent="0.25">
      <c r="A4" s="29" t="s">
        <v>9</v>
      </c>
      <c r="B4" s="30"/>
      <c r="C4" s="464" t="str">
        <f>Oplysningsside!B5</f>
        <v/>
      </c>
      <c r="D4" s="464"/>
      <c r="E4" s="464"/>
      <c r="F4" s="30"/>
      <c r="G4" s="322"/>
      <c r="H4" s="32" t="s">
        <v>7</v>
      </c>
      <c r="I4" s="30"/>
      <c r="J4" s="464" t="str">
        <f>Oplysningsside!E5</f>
        <v/>
      </c>
      <c r="K4" s="464"/>
      <c r="L4" s="464"/>
      <c r="M4" s="30"/>
      <c r="N4" s="30" t="s">
        <v>11</v>
      </c>
      <c r="O4" s="30"/>
      <c r="P4" s="468" t="str">
        <f>Oplysningsside!G5</f>
        <v/>
      </c>
      <c r="Q4" s="469"/>
      <c r="R4" s="17"/>
      <c r="S4" s="17"/>
      <c r="T4" s="17"/>
    </row>
    <row r="5" spans="1:20" x14ac:dyDescent="0.25">
      <c r="A5" s="8" t="s">
        <v>517</v>
      </c>
      <c r="B5" s="35"/>
      <c r="C5" s="465" t="str">
        <f>Oplysningsside!$B$6</f>
        <v/>
      </c>
      <c r="D5" s="465"/>
      <c r="E5" s="465"/>
      <c r="F5" s="35"/>
      <c r="G5" s="35"/>
      <c r="H5" s="9" t="s">
        <v>423</v>
      </c>
      <c r="I5" s="35"/>
      <c r="J5" s="466" t="str">
        <f>Oplysningsside!E6</f>
        <v/>
      </c>
      <c r="K5" s="466"/>
      <c r="L5" s="466"/>
      <c r="M5" s="35"/>
      <c r="N5" s="35"/>
      <c r="O5" s="35"/>
      <c r="P5" s="465"/>
      <c r="Q5" s="471"/>
      <c r="R5" s="17"/>
      <c r="S5" s="17"/>
      <c r="T5" s="17"/>
    </row>
    <row r="6" spans="1:20" x14ac:dyDescent="0.25">
      <c r="R6" s="51"/>
      <c r="S6" s="51"/>
      <c r="T6" s="51"/>
    </row>
    <row r="7" spans="1:20" ht="26.25" x14ac:dyDescent="0.4">
      <c r="A7" s="37" t="s">
        <v>462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128"/>
      <c r="P7" s="40" t="s">
        <v>2</v>
      </c>
      <c r="Q7" s="38"/>
      <c r="R7" s="51"/>
      <c r="S7" s="51"/>
      <c r="T7" s="51"/>
    </row>
    <row r="8" spans="1:20" x14ac:dyDescent="0.25">
      <c r="R8" s="51"/>
      <c r="S8" s="51"/>
      <c r="T8" s="51"/>
    </row>
    <row r="9" spans="1:20" ht="20.25" x14ac:dyDescent="0.35">
      <c r="A9" s="43" t="s">
        <v>587</v>
      </c>
      <c r="B9" s="45"/>
      <c r="C9" s="45"/>
      <c r="D9" s="45"/>
      <c r="E9" s="124"/>
      <c r="F9" s="43" t="s">
        <v>632</v>
      </c>
      <c r="G9" s="43"/>
      <c r="H9" s="45"/>
      <c r="I9" s="124"/>
      <c r="J9" s="45"/>
      <c r="K9" s="45"/>
      <c r="L9" s="45"/>
      <c r="M9" s="45"/>
      <c r="N9" s="45"/>
      <c r="O9" s="45"/>
      <c r="P9" s="45"/>
      <c r="Q9" s="45"/>
      <c r="R9" s="51"/>
      <c r="S9" s="51"/>
      <c r="T9" s="51"/>
    </row>
    <row r="11" spans="1:20" x14ac:dyDescent="0.25">
      <c r="A11" s="46" t="s">
        <v>146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68" t="s">
        <v>90</v>
      </c>
      <c r="O11" s="47"/>
      <c r="P11" s="47"/>
      <c r="Q11" s="47"/>
    </row>
    <row r="12" spans="1:20" ht="15" customHeight="1" x14ac:dyDescent="0.25">
      <c r="A12" s="48" t="s">
        <v>40</v>
      </c>
      <c r="B12" s="49" t="s">
        <v>550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264"/>
      <c r="N12" s="503"/>
      <c r="O12" s="504"/>
      <c r="P12" s="504"/>
      <c r="Q12" s="505"/>
    </row>
    <row r="13" spans="1:20" ht="15" customHeight="1" x14ac:dyDescent="0.25">
      <c r="A13" s="50" t="s">
        <v>646</v>
      </c>
      <c r="B13" s="51" t="s">
        <v>724</v>
      </c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82"/>
      <c r="N13" s="475"/>
      <c r="O13" s="476"/>
      <c r="P13" s="476"/>
      <c r="Q13" s="477"/>
    </row>
    <row r="14" spans="1:20" ht="15" customHeight="1" x14ac:dyDescent="0.25">
      <c r="A14" s="50"/>
      <c r="B14" s="51" t="s">
        <v>647</v>
      </c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82"/>
      <c r="N14" s="475"/>
      <c r="O14" s="476"/>
      <c r="P14" s="476"/>
      <c r="Q14" s="477"/>
    </row>
    <row r="15" spans="1:20" ht="15" customHeight="1" x14ac:dyDescent="0.25">
      <c r="A15" s="50" t="s">
        <v>639</v>
      </c>
      <c r="B15" s="51" t="s">
        <v>727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82"/>
      <c r="N15" s="475"/>
      <c r="O15" s="476"/>
      <c r="P15" s="476"/>
      <c r="Q15" s="477"/>
    </row>
    <row r="16" spans="1:20" ht="15" customHeight="1" x14ac:dyDescent="0.25">
      <c r="A16" s="50"/>
      <c r="B16" s="51" t="s">
        <v>725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82"/>
      <c r="N16" s="475"/>
      <c r="O16" s="476"/>
      <c r="P16" s="476"/>
      <c r="Q16" s="477"/>
    </row>
    <row r="17" spans="1:17" ht="15" customHeight="1" x14ac:dyDescent="0.25">
      <c r="A17" s="50"/>
      <c r="B17" s="23" t="s">
        <v>648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82"/>
      <c r="N17" s="475"/>
      <c r="O17" s="476"/>
      <c r="P17" s="476"/>
      <c r="Q17" s="477"/>
    </row>
    <row r="18" spans="1:17" ht="15" customHeight="1" x14ac:dyDescent="0.25">
      <c r="A18" s="50"/>
      <c r="B18" s="51" t="s">
        <v>463</v>
      </c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82"/>
      <c r="N18" s="475"/>
      <c r="O18" s="476"/>
      <c r="P18" s="476"/>
      <c r="Q18" s="477"/>
    </row>
    <row r="19" spans="1:17" ht="15" customHeight="1" x14ac:dyDescent="0.25">
      <c r="A19" s="50"/>
      <c r="B19" s="51" t="s">
        <v>464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82"/>
      <c r="N19" s="475"/>
      <c r="O19" s="476"/>
      <c r="P19" s="476"/>
      <c r="Q19" s="477"/>
    </row>
    <row r="20" spans="1:17" ht="15" customHeight="1" x14ac:dyDescent="0.25">
      <c r="A20" s="50"/>
      <c r="B20" s="51" t="s">
        <v>551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82"/>
      <c r="N20" s="475"/>
      <c r="O20" s="476"/>
      <c r="P20" s="476"/>
      <c r="Q20" s="477"/>
    </row>
    <row r="21" spans="1:17" ht="15" customHeight="1" x14ac:dyDescent="0.25">
      <c r="A21" s="50"/>
      <c r="B21" s="51" t="s">
        <v>726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82"/>
      <c r="N21" s="475"/>
      <c r="O21" s="476"/>
      <c r="P21" s="476"/>
      <c r="Q21" s="477"/>
    </row>
    <row r="22" spans="1:17" ht="15" customHeight="1" x14ac:dyDescent="0.25">
      <c r="A22" s="50"/>
      <c r="B22" s="51" t="s">
        <v>649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82"/>
      <c r="N22" s="475"/>
      <c r="O22" s="476"/>
      <c r="P22" s="476"/>
      <c r="Q22" s="477"/>
    </row>
    <row r="23" spans="1:17" ht="15" customHeight="1" x14ac:dyDescent="0.25">
      <c r="A23" s="50"/>
      <c r="B23" s="51" t="s">
        <v>728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82"/>
      <c r="N23" s="475"/>
      <c r="O23" s="476"/>
      <c r="P23" s="476"/>
      <c r="Q23" s="477"/>
    </row>
    <row r="24" spans="1:17" ht="15" customHeight="1" x14ac:dyDescent="0.25">
      <c r="A24" s="50"/>
      <c r="B24" s="23" t="s">
        <v>224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82"/>
      <c r="N24" s="475"/>
      <c r="O24" s="476"/>
      <c r="P24" s="476"/>
      <c r="Q24" s="477"/>
    </row>
    <row r="25" spans="1:17" ht="15" customHeight="1" x14ac:dyDescent="0.25">
      <c r="A25" s="50"/>
      <c r="B25" s="51" t="s">
        <v>589</v>
      </c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82"/>
      <c r="N25" s="475"/>
      <c r="O25" s="476"/>
      <c r="P25" s="476"/>
      <c r="Q25" s="477"/>
    </row>
    <row r="26" spans="1:17" ht="15" customHeight="1" x14ac:dyDescent="0.25">
      <c r="A26" s="50"/>
      <c r="B26" s="51" t="s">
        <v>650</v>
      </c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82"/>
      <c r="N26" s="475"/>
      <c r="O26" s="476"/>
      <c r="P26" s="476"/>
      <c r="Q26" s="477"/>
    </row>
    <row r="27" spans="1:17" ht="15" customHeight="1" x14ac:dyDescent="0.25">
      <c r="A27" s="50"/>
      <c r="B27" s="23" t="s">
        <v>225</v>
      </c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82"/>
      <c r="N27" s="475"/>
      <c r="O27" s="476"/>
      <c r="P27" s="476"/>
      <c r="Q27" s="477"/>
    </row>
    <row r="28" spans="1:17" ht="15" customHeight="1" x14ac:dyDescent="0.25">
      <c r="A28" s="50"/>
      <c r="B28" s="51" t="s">
        <v>651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82"/>
      <c r="N28" s="475"/>
      <c r="O28" s="476"/>
      <c r="P28" s="476"/>
      <c r="Q28" s="477"/>
    </row>
    <row r="29" spans="1:17" ht="15" customHeight="1" x14ac:dyDescent="0.25">
      <c r="A29" s="50"/>
      <c r="B29" s="51" t="s">
        <v>652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82"/>
      <c r="N29" s="475"/>
      <c r="O29" s="476"/>
      <c r="P29" s="476"/>
      <c r="Q29" s="477"/>
    </row>
    <row r="30" spans="1:17" ht="15" customHeight="1" x14ac:dyDescent="0.25">
      <c r="A30" s="50"/>
      <c r="B30" s="51" t="s">
        <v>729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82"/>
      <c r="N30" s="475"/>
      <c r="O30" s="476"/>
      <c r="P30" s="476"/>
      <c r="Q30" s="477"/>
    </row>
    <row r="31" spans="1:17" ht="15" customHeight="1" x14ac:dyDescent="0.25">
      <c r="A31" s="50"/>
      <c r="B31" s="51" t="s">
        <v>730</v>
      </c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82"/>
      <c r="N31" s="475"/>
      <c r="O31" s="476"/>
      <c r="P31" s="476"/>
      <c r="Q31" s="477"/>
    </row>
    <row r="32" spans="1:17" ht="15" customHeight="1" x14ac:dyDescent="0.25">
      <c r="A32" s="50"/>
      <c r="B32" s="51" t="s">
        <v>731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82"/>
      <c r="N32" s="475"/>
      <c r="O32" s="476"/>
      <c r="P32" s="476"/>
      <c r="Q32" s="477"/>
    </row>
    <row r="33" spans="1:19" ht="15" customHeight="1" x14ac:dyDescent="0.25">
      <c r="A33" s="50"/>
      <c r="B33" s="215" t="s">
        <v>732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82"/>
      <c r="N33" s="475"/>
      <c r="O33" s="476"/>
      <c r="P33" s="476"/>
      <c r="Q33" s="477"/>
    </row>
    <row r="34" spans="1:19" ht="15" customHeight="1" x14ac:dyDescent="0.25">
      <c r="A34" s="50"/>
      <c r="B34" s="51" t="s">
        <v>733</v>
      </c>
      <c r="C34" s="51"/>
      <c r="D34" s="51"/>
      <c r="E34" s="51"/>
      <c r="F34" s="51" t="s">
        <v>619</v>
      </c>
      <c r="G34" s="51"/>
      <c r="H34" s="51"/>
      <c r="I34" s="51"/>
      <c r="J34" s="51"/>
      <c r="K34" s="51"/>
      <c r="L34" s="51"/>
      <c r="M34" s="82"/>
      <c r="N34" s="475"/>
      <c r="O34" s="476"/>
      <c r="P34" s="476"/>
      <c r="Q34" s="477"/>
    </row>
    <row r="35" spans="1:19" ht="15" customHeight="1" x14ac:dyDescent="0.25">
      <c r="A35" s="50"/>
      <c r="B35" s="23" t="s">
        <v>588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82"/>
      <c r="N35" s="475"/>
      <c r="O35" s="476"/>
      <c r="P35" s="476"/>
      <c r="Q35" s="477"/>
    </row>
    <row r="36" spans="1:19" ht="15" customHeight="1" x14ac:dyDescent="0.25">
      <c r="A36" s="50"/>
      <c r="B36" s="51" t="s">
        <v>653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82"/>
      <c r="N36" s="475"/>
      <c r="O36" s="476"/>
      <c r="P36" s="476"/>
      <c r="Q36" s="477"/>
    </row>
    <row r="37" spans="1:19" ht="15" customHeight="1" x14ac:dyDescent="0.25">
      <c r="A37" s="50"/>
      <c r="B37" s="51" t="s">
        <v>654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82"/>
      <c r="N37" s="475"/>
      <c r="O37" s="476"/>
      <c r="P37" s="476"/>
      <c r="Q37" s="477"/>
    </row>
    <row r="38" spans="1:19" ht="15" customHeight="1" x14ac:dyDescent="0.25">
      <c r="A38" s="50"/>
      <c r="B38" s="23" t="s">
        <v>655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82"/>
      <c r="N38" s="475"/>
      <c r="O38" s="476"/>
      <c r="P38" s="476"/>
      <c r="Q38" s="477"/>
    </row>
    <row r="39" spans="1:19" ht="15" customHeight="1" x14ac:dyDescent="0.25">
      <c r="A39" s="50"/>
      <c r="B39" s="51" t="s">
        <v>590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82"/>
      <c r="N39" s="475"/>
      <c r="O39" s="476"/>
      <c r="P39" s="476"/>
      <c r="Q39" s="477"/>
    </row>
    <row r="40" spans="1:19" ht="15" customHeight="1" x14ac:dyDescent="0.25">
      <c r="A40" s="50"/>
      <c r="B40" s="51" t="s">
        <v>734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82"/>
      <c r="N40" s="475"/>
      <c r="O40" s="476"/>
      <c r="P40" s="476"/>
      <c r="Q40" s="477"/>
    </row>
    <row r="41" spans="1:19" ht="15" customHeight="1" x14ac:dyDescent="0.25">
      <c r="A41" s="50"/>
      <c r="B41" s="51" t="s">
        <v>465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82"/>
      <c r="N41" s="475"/>
      <c r="O41" s="476"/>
      <c r="P41" s="476"/>
      <c r="Q41" s="477"/>
    </row>
    <row r="42" spans="1:19" ht="15" customHeight="1" x14ac:dyDescent="0.25">
      <c r="A42" s="50" t="s">
        <v>41</v>
      </c>
      <c r="B42" s="215" t="s">
        <v>597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82"/>
      <c r="N42" s="475"/>
      <c r="O42" s="476"/>
      <c r="P42" s="476"/>
      <c r="Q42" s="477"/>
    </row>
    <row r="43" spans="1:19" ht="15" customHeight="1" x14ac:dyDescent="0.25">
      <c r="A43" s="52"/>
      <c r="B43" s="72" t="s">
        <v>735</v>
      </c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83"/>
      <c r="N43" s="478"/>
      <c r="O43" s="479"/>
      <c r="P43" s="479"/>
      <c r="Q43" s="480"/>
    </row>
    <row r="44" spans="1:19" x14ac:dyDescent="0.25">
      <c r="A44" s="240" t="s">
        <v>659</v>
      </c>
      <c r="B44" s="216" t="s">
        <v>660</v>
      </c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373" t="s">
        <v>684</v>
      </c>
      <c r="N44" s="200"/>
      <c r="O44" s="384"/>
      <c r="P44" s="384"/>
      <c r="Q44" s="385"/>
    </row>
    <row r="45" spans="1:19" x14ac:dyDescent="0.25">
      <c r="A45" s="242"/>
      <c r="B45" s="168" t="s">
        <v>661</v>
      </c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374" t="s">
        <v>662</v>
      </c>
      <c r="N45" s="478"/>
      <c r="O45" s="479"/>
      <c r="P45" s="479"/>
      <c r="Q45" s="480"/>
    </row>
    <row r="46" spans="1:19" x14ac:dyDescent="0.25">
      <c r="A46" s="51"/>
      <c r="J46" s="44"/>
      <c r="K46" s="44"/>
      <c r="L46" s="44"/>
      <c r="M46" s="44"/>
      <c r="N46" s="44"/>
      <c r="O46" s="44"/>
      <c r="P46" s="44"/>
      <c r="Q46" s="44"/>
    </row>
    <row r="47" spans="1:19" x14ac:dyDescent="0.25">
      <c r="A47" s="53" t="s">
        <v>147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S47" s="215"/>
    </row>
    <row r="48" spans="1:19" x14ac:dyDescent="0.25">
      <c r="A48" s="12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S48" s="215"/>
    </row>
    <row r="49" spans="1:36" ht="18" x14ac:dyDescent="0.35">
      <c r="A49" s="105"/>
      <c r="B49" s="49" t="s">
        <v>43</v>
      </c>
      <c r="C49" s="216"/>
      <c r="D49" s="216"/>
      <c r="E49" s="216"/>
      <c r="F49" s="105"/>
      <c r="G49" s="240" t="s">
        <v>509</v>
      </c>
      <c r="H49" s="216"/>
      <c r="I49" s="216"/>
      <c r="J49" s="216"/>
      <c r="K49" s="386" t="s">
        <v>669</v>
      </c>
      <c r="L49" s="240" t="s">
        <v>668</v>
      </c>
      <c r="M49" s="216"/>
      <c r="N49" s="216"/>
      <c r="O49" s="216"/>
      <c r="P49" s="216"/>
      <c r="Q49" s="217"/>
      <c r="S49" s="215"/>
    </row>
    <row r="50" spans="1:36" ht="18" x14ac:dyDescent="0.35">
      <c r="A50" s="106"/>
      <c r="B50" s="215" t="s">
        <v>145</v>
      </c>
      <c r="C50" s="215"/>
      <c r="D50" s="215"/>
      <c r="E50" s="215"/>
      <c r="F50" s="221"/>
      <c r="G50" s="238"/>
      <c r="H50" s="215"/>
      <c r="I50" s="215"/>
      <c r="J50" s="215"/>
      <c r="K50" s="106"/>
      <c r="L50" s="259" t="s">
        <v>593</v>
      </c>
      <c r="M50" s="51"/>
      <c r="N50" s="215"/>
      <c r="O50" s="215"/>
      <c r="P50" s="215"/>
      <c r="Q50" s="226"/>
      <c r="S50" s="215"/>
    </row>
    <row r="51" spans="1:36" x14ac:dyDescent="0.25">
      <c r="A51" s="106"/>
      <c r="B51" s="215" t="s">
        <v>503</v>
      </c>
      <c r="C51" s="215"/>
      <c r="D51" s="215"/>
      <c r="E51" s="215"/>
      <c r="F51" s="340" t="s">
        <v>562</v>
      </c>
      <c r="G51" s="317" t="s">
        <v>563</v>
      </c>
      <c r="H51" s="215"/>
      <c r="I51" s="51"/>
      <c r="J51" s="215"/>
      <c r="K51" s="106"/>
      <c r="L51" s="243" t="s">
        <v>385</v>
      </c>
      <c r="M51" s="51"/>
      <c r="N51" s="215"/>
      <c r="O51" s="215"/>
      <c r="P51" s="215"/>
      <c r="Q51" s="226"/>
      <c r="S51" s="215"/>
    </row>
    <row r="52" spans="1:36" ht="18" x14ac:dyDescent="0.35">
      <c r="A52" s="106"/>
      <c r="B52" s="215" t="s">
        <v>236</v>
      </c>
      <c r="C52" s="215"/>
      <c r="D52" s="215"/>
      <c r="E52" s="215"/>
      <c r="F52" s="106"/>
      <c r="G52" s="259" t="s">
        <v>594</v>
      </c>
      <c r="H52" s="215"/>
      <c r="I52" s="215"/>
      <c r="J52" s="215" t="s">
        <v>656</v>
      </c>
      <c r="K52" s="106"/>
      <c r="L52" s="243" t="s">
        <v>466</v>
      </c>
      <c r="M52" s="51"/>
      <c r="N52" s="215"/>
      <c r="O52" s="215"/>
      <c r="P52" s="215"/>
      <c r="Q52" s="226"/>
    </row>
    <row r="53" spans="1:36" x14ac:dyDescent="0.25">
      <c r="A53" s="106"/>
      <c r="B53" s="390" t="s">
        <v>499</v>
      </c>
      <c r="C53" s="51"/>
      <c r="D53" s="215"/>
      <c r="E53" s="215"/>
      <c r="F53" s="106"/>
      <c r="G53" s="259" t="s">
        <v>673</v>
      </c>
      <c r="H53" s="241"/>
      <c r="I53" s="215"/>
      <c r="J53" s="215"/>
      <c r="K53" s="193"/>
      <c r="L53" s="238"/>
      <c r="M53" s="51"/>
      <c r="N53" s="215"/>
      <c r="O53" s="215"/>
      <c r="P53" s="215"/>
      <c r="Q53" s="226"/>
    </row>
    <row r="54" spans="1:36" x14ac:dyDescent="0.25">
      <c r="A54" s="328"/>
      <c r="B54" s="241"/>
      <c r="C54" s="215"/>
      <c r="D54" s="241"/>
      <c r="E54" s="215"/>
      <c r="F54" s="106"/>
      <c r="G54" s="259" t="s">
        <v>395</v>
      </c>
      <c r="H54" s="215"/>
      <c r="I54" s="215"/>
      <c r="J54" s="241"/>
      <c r="K54" s="193"/>
      <c r="L54" s="363"/>
      <c r="M54" s="51"/>
      <c r="N54" s="215"/>
      <c r="O54" s="241"/>
      <c r="P54" s="215"/>
      <c r="Q54" s="226"/>
    </row>
    <row r="55" spans="1:36" x14ac:dyDescent="0.25">
      <c r="A55" s="328"/>
      <c r="B55" s="241"/>
      <c r="C55" s="215"/>
      <c r="D55" s="215"/>
      <c r="E55" s="215"/>
      <c r="F55" s="340" t="s">
        <v>562</v>
      </c>
      <c r="G55" s="325" t="s">
        <v>564</v>
      </c>
      <c r="H55" s="215"/>
      <c r="I55" s="215"/>
      <c r="J55" s="215"/>
      <c r="K55" s="193"/>
      <c r="L55" s="80"/>
      <c r="M55" s="51"/>
      <c r="N55" s="215"/>
      <c r="O55" s="215"/>
      <c r="P55" s="215"/>
      <c r="Q55" s="226"/>
    </row>
    <row r="56" spans="1:36" x14ac:dyDescent="0.25">
      <c r="A56" s="120"/>
      <c r="B56" s="135"/>
      <c r="C56" s="215"/>
      <c r="D56" s="215"/>
      <c r="E56" s="215"/>
      <c r="F56" s="106"/>
      <c r="G56" s="259" t="s">
        <v>454</v>
      </c>
      <c r="H56" s="215"/>
      <c r="I56" s="215"/>
      <c r="J56" s="215"/>
      <c r="K56" s="193"/>
      <c r="L56" s="245"/>
      <c r="M56" s="215"/>
      <c r="N56" s="361"/>
      <c r="O56" s="241"/>
      <c r="P56" s="215"/>
      <c r="Q56" s="226"/>
    </row>
    <row r="57" spans="1:36" ht="18" x14ac:dyDescent="0.35">
      <c r="A57" s="193"/>
      <c r="C57" s="215"/>
      <c r="D57" s="215"/>
      <c r="E57" s="215"/>
      <c r="F57" s="106"/>
      <c r="G57" s="243" t="s">
        <v>595</v>
      </c>
      <c r="H57" s="215"/>
      <c r="I57" s="215"/>
      <c r="J57" s="215"/>
      <c r="K57" s="193"/>
      <c r="L57" s="363"/>
      <c r="M57" s="215"/>
      <c r="N57" s="215"/>
      <c r="O57" s="241"/>
      <c r="P57" s="215"/>
      <c r="Q57" s="226"/>
    </row>
    <row r="58" spans="1:36" x14ac:dyDescent="0.25">
      <c r="A58" s="223"/>
      <c r="B58" s="72"/>
      <c r="C58" s="168"/>
      <c r="D58" s="168"/>
      <c r="E58" s="168"/>
      <c r="F58" s="197"/>
      <c r="G58" s="242"/>
      <c r="H58" s="168"/>
      <c r="I58" s="247"/>
      <c r="J58" s="72"/>
      <c r="K58" s="197"/>
      <c r="L58" s="242"/>
      <c r="M58" s="168"/>
      <c r="N58" s="168"/>
      <c r="O58" s="168"/>
      <c r="P58" s="168"/>
      <c r="Q58" s="232"/>
      <c r="AE58" s="51"/>
      <c r="AF58" s="51"/>
      <c r="AG58" s="51"/>
      <c r="AH58" s="51"/>
      <c r="AI58" s="51"/>
      <c r="AJ58" s="51"/>
    </row>
    <row r="59" spans="1:36" ht="18" x14ac:dyDescent="0.35">
      <c r="A59" s="362" t="s">
        <v>440</v>
      </c>
      <c r="B59" s="346" t="s">
        <v>596</v>
      </c>
      <c r="C59" s="348"/>
      <c r="D59" s="248" t="s">
        <v>437</v>
      </c>
      <c r="E59" s="348"/>
      <c r="F59" s="348"/>
      <c r="G59" s="348"/>
      <c r="H59" s="348"/>
      <c r="I59" s="348"/>
      <c r="J59" s="348"/>
      <c r="K59" s="348"/>
      <c r="L59" s="347"/>
      <c r="M59" s="347"/>
      <c r="N59" s="51"/>
      <c r="O59" s="44"/>
      <c r="P59" s="44"/>
      <c r="Q59" s="44"/>
      <c r="S59" s="362" t="s">
        <v>441</v>
      </c>
      <c r="T59" s="346" t="s">
        <v>596</v>
      </c>
      <c r="U59" s="348"/>
      <c r="V59" s="248" t="s">
        <v>438</v>
      </c>
      <c r="W59" s="348"/>
      <c r="X59" s="348"/>
      <c r="Y59" s="348"/>
      <c r="Z59" s="348"/>
      <c r="AA59" s="348"/>
      <c r="AB59" s="348"/>
      <c r="AC59" s="348"/>
      <c r="AD59" s="347"/>
      <c r="AE59" s="302"/>
      <c r="AF59" s="51"/>
      <c r="AG59" s="51"/>
      <c r="AH59" s="51"/>
      <c r="AI59" s="51"/>
      <c r="AJ59" s="51"/>
    </row>
    <row r="60" spans="1:36" x14ac:dyDescent="0.25">
      <c r="A60" s="55" t="s">
        <v>42</v>
      </c>
      <c r="B60" s="55" t="s">
        <v>44</v>
      </c>
      <c r="C60" s="55" t="s">
        <v>45</v>
      </c>
      <c r="D60" s="55" t="s">
        <v>139</v>
      </c>
      <c r="E60" s="55" t="s">
        <v>139</v>
      </c>
      <c r="F60" s="55" t="s">
        <v>139</v>
      </c>
      <c r="G60" s="55" t="str">
        <f>IF($A$51="","",IF($A$51="Ionkammer","Dosis D",(IF($A$51="SSD detektor","Dosis D","PKA"))))</f>
        <v/>
      </c>
      <c r="H60" s="55" t="str">
        <f>IF($A$51="","",IF($A$51="Ionkammer","PKA (målt)",(IF($A$51="SSD detektor","PKA (målt)","Dosis D"))))</f>
        <v/>
      </c>
      <c r="I60" s="55" t="s">
        <v>591</v>
      </c>
      <c r="J60" s="55" t="s">
        <v>592</v>
      </c>
      <c r="K60" s="55" t="s">
        <v>604</v>
      </c>
      <c r="L60" s="55" t="s">
        <v>64</v>
      </c>
      <c r="M60" s="55" t="s">
        <v>61</v>
      </c>
      <c r="N60" s="219"/>
      <c r="O60" s="219"/>
      <c r="P60" s="219"/>
      <c r="Q60" s="51"/>
      <c r="S60" s="55" t="s">
        <v>42</v>
      </c>
      <c r="T60" s="55" t="s">
        <v>44</v>
      </c>
      <c r="U60" s="55" t="s">
        <v>45</v>
      </c>
      <c r="V60" s="55" t="s">
        <v>139</v>
      </c>
      <c r="W60" s="55" t="s">
        <v>139</v>
      </c>
      <c r="X60" s="55" t="s">
        <v>139</v>
      </c>
      <c r="Y60" s="55" t="str">
        <f>IF($A$51="","",IF($A$51="Ionkammer","Dosis D",(IF($A$51="SSD detektor","Dosis D","PKA"))))</f>
        <v/>
      </c>
      <c r="Z60" s="55" t="str">
        <f>IF($A$51="","",IF($A$51="Ionkammer","PKA (målt)",(IF($A$51="SSD detektor","PKA (målt)","Dosis D"))))</f>
        <v/>
      </c>
      <c r="AA60" s="55" t="s">
        <v>591</v>
      </c>
      <c r="AB60" s="55" t="s">
        <v>592</v>
      </c>
      <c r="AC60" s="55" t="s">
        <v>604</v>
      </c>
      <c r="AD60" s="55" t="s">
        <v>64</v>
      </c>
      <c r="AE60" s="55" t="s">
        <v>61</v>
      </c>
      <c r="AF60" s="219"/>
      <c r="AG60" s="51"/>
      <c r="AH60" s="51"/>
      <c r="AI60" s="51"/>
      <c r="AJ60" s="51"/>
    </row>
    <row r="61" spans="1:36" x14ac:dyDescent="0.25">
      <c r="A61" s="56"/>
      <c r="B61" s="56"/>
      <c r="C61" s="56"/>
      <c r="D61" s="56" t="str">
        <f>IF($A$53="","",IF($A$53="rektangulær","kantlængde 1","diameter"))</f>
        <v/>
      </c>
      <c r="E61" s="56" t="str">
        <f>IF($A$53="","",IF($A$53="rektangulær","kantlængde 2",""))</f>
        <v/>
      </c>
      <c r="F61" s="56" t="s">
        <v>657</v>
      </c>
      <c r="G61" s="164" t="str">
        <f>IF(OR($A$51="",$F$56=""),"",IF($A$51="Ionkammer",$F$56,(IF($A$51="SSD detektor",$F$56,$F$57))))</f>
        <v/>
      </c>
      <c r="H61" s="164" t="str">
        <f>IF($A$51="","",IF($A$51="Ionkammer","mGycm2",(IF($A$51="SSD detektor","mGycm2","mGy"))))</f>
        <v/>
      </c>
      <c r="I61" s="164" t="str">
        <f>IF($F$52="","",$F$52)</f>
        <v/>
      </c>
      <c r="J61" s="164" t="str">
        <f>IF($F$52="","",$F$52)</f>
        <v/>
      </c>
      <c r="K61" s="164" t="s">
        <v>63</v>
      </c>
      <c r="L61" s="56" t="s">
        <v>52</v>
      </c>
      <c r="M61" s="56"/>
      <c r="N61" s="254"/>
      <c r="O61" s="219"/>
      <c r="P61" s="219"/>
      <c r="Q61" s="51"/>
      <c r="S61" s="56"/>
      <c r="T61" s="56"/>
      <c r="U61" s="56"/>
      <c r="V61" s="56" t="str">
        <f>IF($A$53="","",IF($A$53="rektangulær","kantlængde 1","diameter"))</f>
        <v/>
      </c>
      <c r="W61" s="56" t="str">
        <f>IF($A$53="","",IF($A$53="rektangulær","kantlængde 2",""))</f>
        <v/>
      </c>
      <c r="X61" s="56" t="s">
        <v>657</v>
      </c>
      <c r="Y61" s="164" t="str">
        <f>IF(OR($A$51="",$F$56=""),"",IF($A$51="Ionkammer",$F$56,(IF($A$51="SSD detektor",$F$56,$F$57))))</f>
        <v/>
      </c>
      <c r="Z61" s="164" t="str">
        <f>IF($A$51="","",IF($A$51="Ionkammer","mGycm2",(IF($A$51="SSD detektor","mGycm2","mGy"))))</f>
        <v/>
      </c>
      <c r="AA61" s="164" t="str">
        <f>IF($F$52="","",$F$52)</f>
        <v/>
      </c>
      <c r="AB61" s="164" t="str">
        <f>IF($F$52="","",$F$52)</f>
        <v/>
      </c>
      <c r="AC61" s="164" t="s">
        <v>63</v>
      </c>
      <c r="AD61" s="56" t="s">
        <v>52</v>
      </c>
      <c r="AE61" s="56"/>
      <c r="AF61" s="254"/>
      <c r="AG61" s="51"/>
      <c r="AH61" s="51"/>
      <c r="AI61" s="51"/>
      <c r="AJ61" s="51"/>
    </row>
    <row r="62" spans="1:36" x14ac:dyDescent="0.25">
      <c r="A62" s="56"/>
      <c r="B62" s="56"/>
      <c r="C62" s="56"/>
      <c r="D62" s="56"/>
      <c r="E62" s="56"/>
      <c r="F62" s="56"/>
      <c r="G62" s="56" t="str">
        <f>IF($A$51="","",IF($A$51="Ionkammer","målt",(IF($A$51="SSD detektor","målt","Ekstern"))))</f>
        <v/>
      </c>
      <c r="H62" s="56" t="str">
        <f>IF($A$51="","",IF($A$51="Ionkammer","beregnet",(IF($A$51="SSD detektor","beregnet","beregnet"))))</f>
        <v/>
      </c>
      <c r="I62" s="56" t="s">
        <v>120</v>
      </c>
      <c r="J62" s="56" t="s">
        <v>120</v>
      </c>
      <c r="K62" s="56"/>
      <c r="L62" s="56"/>
      <c r="M62" s="56"/>
      <c r="N62" s="219"/>
      <c r="O62" s="219"/>
      <c r="P62" s="219"/>
      <c r="Q62" s="51"/>
      <c r="S62" s="56"/>
      <c r="T62" s="56"/>
      <c r="U62" s="56"/>
      <c r="V62" s="56"/>
      <c r="W62" s="56"/>
      <c r="X62" s="56"/>
      <c r="Y62" s="56" t="str">
        <f>IF($A$51="","",IF($A$51="Ionkammer","målt",(IF($A$51="SSD detektor","målt","Ekstern"))))</f>
        <v/>
      </c>
      <c r="Z62" s="56" t="str">
        <f>IF($A$51="","",IF($A$51="Ionkammer","beregnet",(IF($A$51="SSD detektor","beregnet","beregnet"))))</f>
        <v/>
      </c>
      <c r="AA62" s="56" t="s">
        <v>120</v>
      </c>
      <c r="AB62" s="56" t="s">
        <v>120</v>
      </c>
      <c r="AC62" s="56"/>
      <c r="AD62" s="56"/>
      <c r="AE62" s="56"/>
      <c r="AF62" s="219"/>
      <c r="AG62" s="51"/>
      <c r="AH62" s="51"/>
      <c r="AI62" s="51"/>
      <c r="AJ62" s="51"/>
    </row>
    <row r="63" spans="1:36" x14ac:dyDescent="0.25">
      <c r="A63" s="57"/>
      <c r="B63" s="57"/>
      <c r="C63" s="57"/>
      <c r="D63" s="57" t="s">
        <v>54</v>
      </c>
      <c r="E63" s="57" t="s">
        <v>54</v>
      </c>
      <c r="F63" s="57" t="s">
        <v>658</v>
      </c>
      <c r="G63" s="57" t="str">
        <f>IF($A$51="","",IF($A$51="Ionkammer","",(IF( $A$51="SSD detektor","","Reference"))))</f>
        <v/>
      </c>
      <c r="H63" s="57" t="str">
        <f>IF($A$51="","",IF($A$51="Dosimeter","",""))</f>
        <v/>
      </c>
      <c r="I63" s="57" t="s">
        <v>240</v>
      </c>
      <c r="J63" s="57" t="s">
        <v>84</v>
      </c>
      <c r="K63" s="57" t="s">
        <v>84</v>
      </c>
      <c r="L63" s="57"/>
      <c r="M63" s="165" t="s">
        <v>121</v>
      </c>
      <c r="N63" s="219"/>
      <c r="O63" s="219"/>
      <c r="P63" s="251"/>
      <c r="Q63" s="51"/>
      <c r="S63" s="57"/>
      <c r="T63" s="57"/>
      <c r="U63" s="57"/>
      <c r="V63" s="57" t="s">
        <v>54</v>
      </c>
      <c r="W63" s="57" t="s">
        <v>54</v>
      </c>
      <c r="X63" s="57" t="s">
        <v>658</v>
      </c>
      <c r="Y63" s="57" t="str">
        <f>IF($A$51="","",IF($A$51="Ionkammer","",(IF( $A$51="SSD detektor","","Reference"))))</f>
        <v/>
      </c>
      <c r="Z63" s="57" t="str">
        <f>IF($A$51="","",IF($A$51="Dosimeter","",""))</f>
        <v/>
      </c>
      <c r="AA63" s="57" t="s">
        <v>240</v>
      </c>
      <c r="AB63" s="57" t="s">
        <v>84</v>
      </c>
      <c r="AC63" s="57" t="s">
        <v>84</v>
      </c>
      <c r="AD63" s="57"/>
      <c r="AE63" s="165" t="s">
        <v>121</v>
      </c>
      <c r="AF63" s="219"/>
      <c r="AG63" s="51"/>
      <c r="AH63" s="51"/>
      <c r="AI63" s="51"/>
      <c r="AJ63" s="51"/>
    </row>
    <row r="64" spans="1:36" x14ac:dyDescent="0.25">
      <c r="A64" s="58">
        <v>1</v>
      </c>
      <c r="B64" s="84"/>
      <c r="C64" s="84"/>
      <c r="D64" s="84"/>
      <c r="E64" s="84"/>
      <c r="F64" s="97" t="str">
        <f>IF($A$53="","",IF($A$53="rektangulær",D64*E64,3.14*D64^2/4))</f>
        <v/>
      </c>
      <c r="G64" s="156"/>
      <c r="H64" s="255" t="str">
        <f>IF(OR($A$51="",D64="",F64="",G64="",$G$61="",$H$61=""),"",IF($A$51="Ionkammer",G64*F64*VLOOKUP($G$61,Data!$B$31:$C$36,2,FALSE),(IF($A$51="SSD detektor",G64*F64*VLOOKUP($G$61,Data!$B$31:$C$36,2,FALSE),IF(F64&gt;0,G64/F64*VLOOKUP($G$61,Data!$E$31:$F$36,2,FALSE),"")))))</f>
        <v/>
      </c>
      <c r="I64" s="156"/>
      <c r="J64" s="156"/>
      <c r="K64" s="97" t="str">
        <f>IF(OR($A$51="",$F$52="",I64="",J64=""),"",(J64-I64)*VLOOKUP($F$52,Data!$I$31:$J$36,2,FALSE))</f>
        <v/>
      </c>
      <c r="L64" s="167" t="str">
        <f>IF(OR($A$51="",$F$52="",$F$56="",F64="",G64="",J64="",K64=""),"",IF($A$51="Ionkammer",ABS(H64/K64-1)*100,(IF($A$51="SSD detektor",ABS(H64/K64-1)*100,ABS(G64*VLOOKUP($F$57,Data!$I$31:$J$36,2,FALSE)/K64-1)*100))))</f>
        <v/>
      </c>
      <c r="M64" s="58" t="str">
        <f>IF(L64="","",IF(L64&gt;25,"IKKE OK","OK"))</f>
        <v/>
      </c>
      <c r="N64" s="391"/>
      <c r="O64" s="51"/>
      <c r="P64" s="219"/>
      <c r="Q64" s="51"/>
      <c r="S64" s="58">
        <v>1</v>
      </c>
      <c r="T64" s="84"/>
      <c r="U64" s="84"/>
      <c r="V64" s="84"/>
      <c r="W64" s="84"/>
      <c r="X64" s="97" t="str">
        <f>IF($A$53="","",IF($A$53="rektangulær",V64*W64,3.14*V64^2/4))</f>
        <v/>
      </c>
      <c r="Y64" s="156"/>
      <c r="Z64" s="255" t="str">
        <f>IF(OR($A$51="",V64="",X64="",Y64="",$G$61="",$H$61=""),"",IF($A$51="Ionkammer",Y64*X64*VLOOKUP($G$61,Data!$B$31:$C$36,2,FALSE),(IF($A$51="SSD detektor",Y64*X64*VLOOKUP($G$61,Data!$B$31:$C$36,2,FALSE),IF(X64&gt;0,Y64/X64*VLOOKUP($G$61,Data!$E$31:$F$36,2,FALSE),"")))))</f>
        <v/>
      </c>
      <c r="AA64" s="156"/>
      <c r="AB64" s="156"/>
      <c r="AC64" s="97" t="str">
        <f>IF(OR($A$51="",$F$52="",AA64="",AB64=""),"",(AB64-AA64)*VLOOKUP($F$52,Data!$I$31:$J$36,2,FALSE))</f>
        <v/>
      </c>
      <c r="AD64" s="167" t="str">
        <f>IF(OR($A$51="",$F$52="",$F$56="",$F$64="",Y64="",AB64="",AC64=""),"",IF($A$51="Ionkammer",ABS(Z64/AC64-1)*100,(IF($A$51="SSD detektor",ABS(Z64/AC64-1)*100,ABS(Y64*VLOOKUP($F$57,Data!$I$31:$J$36,2,FALSE)/AC64-1)*100))))</f>
        <v/>
      </c>
      <c r="AE64" s="58" t="str">
        <f>IF(AD64="","",IF(AD64&gt;25,"IKKE OK","OK"))</f>
        <v/>
      </c>
      <c r="AF64" s="391"/>
      <c r="AG64" s="51"/>
      <c r="AH64" s="51"/>
      <c r="AI64" s="51"/>
      <c r="AJ64" s="51"/>
    </row>
    <row r="65" spans="1:36" x14ac:dyDescent="0.25">
      <c r="A65" s="58">
        <v>2</v>
      </c>
      <c r="B65" s="84"/>
      <c r="C65" s="84"/>
      <c r="D65" s="84"/>
      <c r="E65" s="84"/>
      <c r="F65" s="97" t="str">
        <f t="shared" ref="F65:F66" si="0">IF($A$53="","",IF($A$53="rektangulær",D65*E65,3.14*D65^2/4))</f>
        <v/>
      </c>
      <c r="G65" s="156"/>
      <c r="H65" s="255" t="str">
        <f>IF(OR($A$51="",D65="",F65="",G65="",$G$61="",$H$61=""),"",IF($A$51="Ionkammer",G65*F65*VLOOKUP($G$61,Data!$B$31:$C$36,2,FALSE),(IF($A$51="SSD detektor",G65*F65*VLOOKUP($G$61,Data!$B$31:$C$36,2,FALSE),IF(F65&gt;0,G65/F65*VLOOKUP($G$61,Data!$E$31:$F$36,2,FALSE),"")))))</f>
        <v/>
      </c>
      <c r="I65" s="156"/>
      <c r="J65" s="156"/>
      <c r="K65" s="97" t="str">
        <f>IF(OR($A$51="",$F$52="",I65="",J65=""),"",(J65-I65)*VLOOKUP($F$52,Data!$I$31:$J$36,2,FALSE))</f>
        <v/>
      </c>
      <c r="L65" s="167" t="str">
        <f>IF(OR($A$51="",$F$52="",$F$56="",F65="",G65="",J65="",K65=""),"",IF($A$51="Ionkammer",ABS(H65/K65-1)*100,(IF($A$51="SSD detektor",ABS(H65/K65-1)*100,ABS(G65*VLOOKUP($F$57,Data!$I$31:$J$36,2,FALSE)/K65-1)*100))))</f>
        <v/>
      </c>
      <c r="M65" s="58" t="str">
        <f t="shared" ref="M65:M66" si="1">IF(L65="","",IF(L65&gt;25,"IKKE OK","OK"))</f>
        <v/>
      </c>
      <c r="N65" s="391"/>
      <c r="O65" s="51"/>
      <c r="P65" s="219"/>
      <c r="Q65" s="51"/>
      <c r="S65" s="58">
        <v>2</v>
      </c>
      <c r="T65" s="84"/>
      <c r="U65" s="84"/>
      <c r="V65" s="84"/>
      <c r="W65" s="84"/>
      <c r="X65" s="97" t="str">
        <f t="shared" ref="X65:X66" si="2">IF($A$53="","",IF($A$53="rektangulær",V65*W65,3.14*V65^2/4))</f>
        <v/>
      </c>
      <c r="Y65" s="156"/>
      <c r="Z65" s="255" t="str">
        <f>IF(OR($A$51="",V65="",X65="",Y65="",$G$61="",$H$61=""),"",IF($A$51="Ionkammer",Y65*X65*VLOOKUP($G$61,Data!$B$31:$C$36,2,FALSE),(IF($A$51="SSD detektor",Y65*X65*VLOOKUP($G$61,Data!$B$31:$C$36,2,FALSE),IF(X65&gt;0,Y65/X65*VLOOKUP($G$61,Data!$E$31:$F$36,2,FALSE),"")))))</f>
        <v/>
      </c>
      <c r="AA65" s="156"/>
      <c r="AB65" s="156"/>
      <c r="AC65" s="97" t="str">
        <f>IF(OR($A$51="",$F$52="",AA65="",AB65=""),"",(AB65-AA65)*VLOOKUP($F$52,Data!$I$31:$J$36,2,FALSE))</f>
        <v/>
      </c>
      <c r="AD65" s="167" t="str">
        <f>IF(OR($A$51="",$F$52="",$F$56="",$F$64="",Y65="",AB65="",AC65=""),"",IF($A$51="Ionkammer",ABS(Z65/AC65-1)*100,(IF($A$51="SSD detektor",ABS(Z65/AC65-1)*100,ABS(Y65*VLOOKUP($F$57,Data!$I$31:$J$36,2,FALSE)/AC65-1)*100))))</f>
        <v/>
      </c>
      <c r="AE65" s="58" t="str">
        <f t="shared" ref="AE65:AE66" si="3">IF(AD65="","",IF(AD65&gt;25,"IKKE OK","OK"))</f>
        <v/>
      </c>
      <c r="AF65" s="391"/>
      <c r="AG65" s="51"/>
      <c r="AH65" s="51"/>
      <c r="AI65" s="51"/>
      <c r="AJ65" s="51"/>
    </row>
    <row r="66" spans="1:36" x14ac:dyDescent="0.25">
      <c r="A66" s="58">
        <v>3</v>
      </c>
      <c r="B66" s="84"/>
      <c r="C66" s="84"/>
      <c r="D66" s="84"/>
      <c r="E66" s="84"/>
      <c r="F66" s="97" t="str">
        <f t="shared" si="0"/>
        <v/>
      </c>
      <c r="G66" s="156"/>
      <c r="H66" s="255" t="str">
        <f>IF(OR($A$51="",D66="",F66="",G66="",$G$61="",$H$61=""),"",IF($A$51="Ionkammer",G66*F66*VLOOKUP($G$61,Data!$B$31:$C$36,2,FALSE),(IF($A$51="SSD detektor",G66*F66*VLOOKUP($G$61,Data!$B$31:$C$36,2,FALSE),IF(F66&gt;0,G66/F66*VLOOKUP($G$61,Data!$E$31:$F$36,2,FALSE),"")))))</f>
        <v/>
      </c>
      <c r="I66" s="156"/>
      <c r="J66" s="156"/>
      <c r="K66" s="97" t="str">
        <f>IF(OR($A$51="",$F$52="",I66="",J66=""),"",(J66-I66)*VLOOKUP($F$52,Data!$I$31:$J$36,2,FALSE))</f>
        <v/>
      </c>
      <c r="L66" s="167" t="str">
        <f>IF(OR($A$51="",$F$52="",$F$56="",F66="",G66="",J66="",K66=""),"",IF($A$51="Ionkammer",ABS(H66/K66-1)*100,(IF($A$51="SSD detektor",ABS(H66/K66-1)*100,ABS(G66*VLOOKUP($F$57,Data!$I$31:$J$36,2,FALSE)/K66-1)*100))))</f>
        <v/>
      </c>
      <c r="M66" s="58" t="str">
        <f t="shared" si="1"/>
        <v/>
      </c>
      <c r="N66" s="391"/>
      <c r="O66" s="51"/>
      <c r="P66" s="219"/>
      <c r="Q66" s="51"/>
      <c r="S66" s="58">
        <v>3</v>
      </c>
      <c r="T66" s="84"/>
      <c r="U66" s="84"/>
      <c r="V66" s="84"/>
      <c r="W66" s="84"/>
      <c r="X66" s="97" t="str">
        <f t="shared" si="2"/>
        <v/>
      </c>
      <c r="Y66" s="156"/>
      <c r="Z66" s="255" t="str">
        <f>IF(OR($A$51="",V66="",X66="",Y66="",$G$61="",$H$61=""),"",IF($A$51="Ionkammer",Y66*X66*VLOOKUP($G$61,Data!$B$31:$C$36,2,FALSE),(IF($A$51="SSD detektor",Y66*X66*VLOOKUP($G$61,Data!$B$31:$C$36,2,FALSE),IF(X66&gt;0,Y66/X66*VLOOKUP($G$61,Data!$E$31:$F$36,2,FALSE),"")))))</f>
        <v/>
      </c>
      <c r="AA66" s="156"/>
      <c r="AB66" s="156"/>
      <c r="AC66" s="97" t="str">
        <f>IF(OR($A$51="",$F$52="",AA66="",AB66=""),"",(AB66-AA66)*VLOOKUP($F$52,Data!$I$31:$J$36,2,FALSE))</f>
        <v/>
      </c>
      <c r="AD66" s="167" t="str">
        <f>IF(OR($A$51="",$F$52="",$F$56="",$F$64="",Y66="",AB66="",AC66=""),"",IF($A$51="Ionkammer",ABS(Z66/AC66-1)*100,(IF($A$51="SSD detektor",ABS(Z66/AC66-1)*100,ABS(Y66*VLOOKUP($F$57,Data!$I$31:$J$36,2,FALSE)/AC66-1)*100))))</f>
        <v/>
      </c>
      <c r="AE66" s="58" t="str">
        <f t="shared" si="3"/>
        <v/>
      </c>
      <c r="AF66" s="391"/>
      <c r="AG66" s="51"/>
      <c r="AH66" s="51"/>
      <c r="AI66" s="51"/>
      <c r="AJ66" s="51"/>
    </row>
    <row r="67" spans="1:36" x14ac:dyDescent="0.25">
      <c r="E67" s="257"/>
      <c r="F67" s="257"/>
      <c r="G67" s="257"/>
      <c r="H67" s="257"/>
      <c r="I67" s="257"/>
      <c r="L67" s="44"/>
      <c r="M67" s="44"/>
      <c r="N67" s="44"/>
      <c r="O67" s="44"/>
      <c r="P67" s="44"/>
      <c r="Q67" s="44"/>
      <c r="AE67" s="51"/>
      <c r="AF67" s="51"/>
      <c r="AG67" s="51"/>
      <c r="AH67" s="51"/>
      <c r="AI67" s="51"/>
      <c r="AJ67" s="51"/>
    </row>
    <row r="69" spans="1:36" ht="18.75" x14ac:dyDescent="0.3">
      <c r="A69" s="67" t="s">
        <v>467</v>
      </c>
      <c r="B69" s="66"/>
      <c r="C69" s="66"/>
      <c r="D69" s="66"/>
      <c r="E69" s="66"/>
      <c r="F69" s="331" t="s">
        <v>433</v>
      </c>
      <c r="G69" s="331"/>
      <c r="H69" s="66"/>
      <c r="I69" s="331"/>
      <c r="J69" s="66"/>
      <c r="K69" s="66"/>
      <c r="L69" s="66"/>
      <c r="M69" s="66"/>
      <c r="N69" s="66"/>
      <c r="O69" s="66"/>
      <c r="P69" s="66"/>
      <c r="Q69" s="66"/>
      <c r="R69" s="51"/>
      <c r="S69" s="51"/>
      <c r="T69" s="51"/>
    </row>
    <row r="70" spans="1:36" x14ac:dyDescent="0.25">
      <c r="R70" s="51"/>
      <c r="S70" s="51"/>
      <c r="T70" s="51"/>
    </row>
    <row r="71" spans="1:36" x14ac:dyDescent="0.25">
      <c r="A71" s="46" t="s">
        <v>148</v>
      </c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68" t="s">
        <v>90</v>
      </c>
      <c r="O71" s="47"/>
      <c r="P71" s="68"/>
      <c r="Q71" s="47"/>
      <c r="R71" s="51"/>
      <c r="S71" s="51"/>
      <c r="T71" s="51"/>
    </row>
    <row r="72" spans="1:36" x14ac:dyDescent="0.25">
      <c r="A72" s="48" t="s">
        <v>40</v>
      </c>
      <c r="B72" s="49" t="s">
        <v>66</v>
      </c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53"/>
      <c r="O72" s="454"/>
      <c r="P72" s="454"/>
      <c r="Q72" s="455"/>
      <c r="R72" s="51"/>
      <c r="S72" s="51"/>
      <c r="T72" s="51"/>
    </row>
    <row r="73" spans="1:36" x14ac:dyDescent="0.25">
      <c r="A73" s="50" t="s">
        <v>646</v>
      </c>
      <c r="B73" s="51" t="s">
        <v>736</v>
      </c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441"/>
      <c r="O73" s="442"/>
      <c r="P73" s="442"/>
      <c r="Q73" s="443"/>
      <c r="R73" s="51"/>
      <c r="S73" s="51"/>
      <c r="T73" s="51"/>
    </row>
    <row r="74" spans="1:36" x14ac:dyDescent="0.25">
      <c r="A74" s="50"/>
      <c r="B74" s="51" t="s">
        <v>737</v>
      </c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441"/>
      <c r="O74" s="442"/>
      <c r="P74" s="442"/>
      <c r="Q74" s="443"/>
      <c r="R74" s="51"/>
      <c r="S74" s="51"/>
      <c r="T74" s="51"/>
    </row>
    <row r="75" spans="1:36" x14ac:dyDescent="0.25">
      <c r="A75" s="50" t="s">
        <v>639</v>
      </c>
      <c r="B75" s="170" t="s">
        <v>468</v>
      </c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441"/>
      <c r="O75" s="442"/>
      <c r="P75" s="442"/>
      <c r="Q75" s="443"/>
      <c r="R75" s="51"/>
      <c r="S75" s="51"/>
      <c r="T75" s="51"/>
    </row>
    <row r="76" spans="1:36" x14ac:dyDescent="0.25">
      <c r="A76" s="50"/>
      <c r="B76" s="51" t="s">
        <v>742</v>
      </c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441"/>
      <c r="O76" s="442"/>
      <c r="P76" s="442"/>
      <c r="Q76" s="443"/>
      <c r="R76" s="51"/>
      <c r="S76" s="51"/>
      <c r="T76" s="51"/>
    </row>
    <row r="77" spans="1:36" x14ac:dyDescent="0.25">
      <c r="A77" s="50"/>
      <c r="B77" s="51" t="s">
        <v>743</v>
      </c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441"/>
      <c r="O77" s="442"/>
      <c r="P77" s="442"/>
      <c r="Q77" s="443"/>
      <c r="R77" s="51"/>
      <c r="S77" s="51"/>
      <c r="T77" s="51"/>
    </row>
    <row r="78" spans="1:36" x14ac:dyDescent="0.25">
      <c r="A78" s="50"/>
      <c r="B78" s="51" t="s">
        <v>744</v>
      </c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441"/>
      <c r="O78" s="442"/>
      <c r="P78" s="442"/>
      <c r="Q78" s="443"/>
      <c r="R78" s="51"/>
      <c r="S78" s="51"/>
      <c r="T78" s="51"/>
    </row>
    <row r="79" spans="1:36" x14ac:dyDescent="0.25">
      <c r="A79" s="50"/>
      <c r="B79" s="23" t="s">
        <v>469</v>
      </c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441"/>
      <c r="O79" s="442"/>
      <c r="P79" s="442"/>
      <c r="Q79" s="443"/>
      <c r="R79" s="51"/>
      <c r="S79" s="51"/>
      <c r="T79" s="51"/>
    </row>
    <row r="80" spans="1:36" x14ac:dyDescent="0.25">
      <c r="A80" s="50"/>
      <c r="B80" s="51" t="s">
        <v>738</v>
      </c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441"/>
      <c r="O80" s="442"/>
      <c r="P80" s="442"/>
      <c r="Q80" s="443"/>
      <c r="R80" s="51"/>
      <c r="S80" s="51"/>
      <c r="T80" s="51"/>
    </row>
    <row r="81" spans="1:20" x14ac:dyDescent="0.25">
      <c r="A81" s="50"/>
      <c r="B81" s="51" t="s">
        <v>739</v>
      </c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441"/>
      <c r="O81" s="442"/>
      <c r="P81" s="442"/>
      <c r="Q81" s="443"/>
      <c r="R81" s="51"/>
      <c r="S81" s="51"/>
      <c r="T81" s="51"/>
    </row>
    <row r="82" spans="1:20" x14ac:dyDescent="0.25">
      <c r="A82" s="50"/>
      <c r="B82" s="51" t="s">
        <v>740</v>
      </c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441"/>
      <c r="O82" s="442"/>
      <c r="P82" s="442"/>
      <c r="Q82" s="443"/>
      <c r="R82" s="51"/>
      <c r="S82" s="51"/>
      <c r="T82" s="51"/>
    </row>
    <row r="83" spans="1:20" x14ac:dyDescent="0.25">
      <c r="A83" s="50"/>
      <c r="B83" s="23" t="s">
        <v>470</v>
      </c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441"/>
      <c r="O83" s="442"/>
      <c r="P83" s="442"/>
      <c r="Q83" s="443"/>
      <c r="R83" s="51"/>
      <c r="S83" s="51"/>
      <c r="T83" s="51"/>
    </row>
    <row r="84" spans="1:20" x14ac:dyDescent="0.25">
      <c r="A84" s="50"/>
      <c r="B84" s="51" t="s">
        <v>552</v>
      </c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441"/>
      <c r="O84" s="442"/>
      <c r="P84" s="442"/>
      <c r="Q84" s="443"/>
      <c r="R84" s="51"/>
      <c r="S84" s="51"/>
      <c r="T84" s="51"/>
    </row>
    <row r="85" spans="1:20" x14ac:dyDescent="0.25">
      <c r="A85" s="50"/>
      <c r="B85" s="51" t="s">
        <v>553</v>
      </c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441"/>
      <c r="O85" s="442"/>
      <c r="P85" s="442"/>
      <c r="Q85" s="443"/>
      <c r="R85" s="51"/>
      <c r="S85" s="51"/>
      <c r="T85" s="51"/>
    </row>
    <row r="86" spans="1:20" x14ac:dyDescent="0.25">
      <c r="A86" s="50"/>
      <c r="B86" s="23" t="s">
        <v>471</v>
      </c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441"/>
      <c r="O86" s="442"/>
      <c r="P86" s="442"/>
      <c r="Q86" s="443"/>
      <c r="R86" s="51"/>
      <c r="S86" s="51"/>
      <c r="T86" s="51"/>
    </row>
    <row r="87" spans="1:20" x14ac:dyDescent="0.25">
      <c r="A87" s="50"/>
      <c r="B87" s="51" t="s">
        <v>741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441"/>
      <c r="O87" s="442"/>
      <c r="P87" s="442"/>
      <c r="Q87" s="443"/>
      <c r="R87" s="51"/>
      <c r="S87" s="51"/>
      <c r="T87" s="51"/>
    </row>
    <row r="88" spans="1:20" x14ac:dyDescent="0.25">
      <c r="A88" s="50"/>
      <c r="B88" s="23" t="s">
        <v>472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441"/>
      <c r="O88" s="442"/>
      <c r="P88" s="442"/>
      <c r="Q88" s="443"/>
      <c r="R88" s="51"/>
      <c r="S88" s="51"/>
      <c r="T88" s="51"/>
    </row>
    <row r="89" spans="1:20" x14ac:dyDescent="0.25">
      <c r="A89" s="50"/>
      <c r="B89" s="51" t="s">
        <v>473</v>
      </c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441"/>
      <c r="O89" s="442"/>
      <c r="P89" s="442"/>
      <c r="Q89" s="443"/>
      <c r="R89" s="51"/>
      <c r="S89" s="51"/>
      <c r="T89" s="51"/>
    </row>
    <row r="90" spans="1:20" x14ac:dyDescent="0.25">
      <c r="A90" s="50" t="s">
        <v>41</v>
      </c>
      <c r="B90" s="170" t="s">
        <v>745</v>
      </c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441"/>
      <c r="O90" s="442"/>
      <c r="P90" s="442"/>
      <c r="Q90" s="443"/>
      <c r="R90" s="51"/>
      <c r="S90" s="51"/>
      <c r="T90" s="51"/>
    </row>
    <row r="91" spans="1:20" x14ac:dyDescent="0.25">
      <c r="A91" s="50"/>
      <c r="B91" s="51" t="s">
        <v>746</v>
      </c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441"/>
      <c r="O91" s="442"/>
      <c r="P91" s="442"/>
      <c r="Q91" s="443"/>
      <c r="R91" s="51"/>
      <c r="S91" s="51"/>
      <c r="T91" s="51"/>
    </row>
    <row r="92" spans="1:20" x14ac:dyDescent="0.25">
      <c r="A92" s="50"/>
      <c r="B92" s="51" t="s">
        <v>747</v>
      </c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441"/>
      <c r="O92" s="442"/>
      <c r="P92" s="442"/>
      <c r="Q92" s="443"/>
      <c r="R92" s="51"/>
      <c r="S92" s="51"/>
      <c r="T92" s="51"/>
    </row>
    <row r="93" spans="1:20" ht="15" customHeight="1" x14ac:dyDescent="0.25">
      <c r="A93" s="41"/>
      <c r="B93" s="215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500"/>
      <c r="O93" s="501"/>
      <c r="P93" s="501"/>
      <c r="Q93" s="502"/>
      <c r="R93" s="85"/>
      <c r="S93" s="85"/>
      <c r="T93" s="85"/>
    </row>
    <row r="94" spans="1:20" ht="15" customHeight="1" x14ac:dyDescent="0.25">
      <c r="A94" s="41"/>
      <c r="B94" s="215"/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500"/>
      <c r="O94" s="501"/>
      <c r="P94" s="501"/>
      <c r="Q94" s="502"/>
      <c r="R94" s="85"/>
      <c r="S94" s="85"/>
      <c r="T94" s="85"/>
    </row>
    <row r="95" spans="1:20" ht="15" customHeight="1" x14ac:dyDescent="0.25">
      <c r="A95" s="41"/>
      <c r="B95" s="215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484"/>
      <c r="O95" s="485"/>
      <c r="P95" s="485"/>
      <c r="Q95" s="486"/>
      <c r="R95" s="85"/>
      <c r="S95" s="85"/>
      <c r="T95" s="85"/>
    </row>
    <row r="96" spans="1:20" ht="15" customHeight="1" x14ac:dyDescent="0.25">
      <c r="A96" s="41"/>
      <c r="B96" s="215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484"/>
      <c r="O96" s="485"/>
      <c r="P96" s="485"/>
      <c r="Q96" s="486"/>
      <c r="R96" s="85"/>
      <c r="S96" s="85"/>
      <c r="T96" s="85"/>
    </row>
    <row r="97" spans="1:20" ht="15" customHeight="1" x14ac:dyDescent="0.25">
      <c r="A97" s="41"/>
      <c r="B97" s="215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484"/>
      <c r="O97" s="485"/>
      <c r="P97" s="485"/>
      <c r="Q97" s="486"/>
      <c r="R97" s="85"/>
      <c r="S97" s="85"/>
      <c r="T97" s="85"/>
    </row>
    <row r="98" spans="1:20" ht="15" customHeight="1" x14ac:dyDescent="0.25">
      <c r="A98" s="41"/>
      <c r="B98" s="215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484"/>
      <c r="O98" s="485"/>
      <c r="P98" s="485"/>
      <c r="Q98" s="486"/>
      <c r="R98" s="85"/>
      <c r="S98" s="85"/>
      <c r="T98" s="85"/>
    </row>
    <row r="99" spans="1:20" ht="15" customHeight="1" x14ac:dyDescent="0.25">
      <c r="A99" s="41"/>
      <c r="B99" s="215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484"/>
      <c r="O99" s="485"/>
      <c r="P99" s="485"/>
      <c r="Q99" s="486"/>
      <c r="R99" s="85"/>
      <c r="S99" s="85"/>
      <c r="T99" s="85"/>
    </row>
    <row r="100" spans="1:20" ht="15" customHeight="1" x14ac:dyDescent="0.25">
      <c r="A100" s="41"/>
      <c r="B100" s="215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484"/>
      <c r="O100" s="485"/>
      <c r="P100" s="485"/>
      <c r="Q100" s="486"/>
      <c r="R100" s="85"/>
      <c r="S100" s="85"/>
      <c r="T100" s="85"/>
    </row>
    <row r="101" spans="1:20" ht="15" customHeight="1" x14ac:dyDescent="0.25">
      <c r="A101" s="41"/>
      <c r="B101" s="215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484"/>
      <c r="O101" s="485"/>
      <c r="P101" s="485"/>
      <c r="Q101" s="486"/>
      <c r="R101" s="85"/>
      <c r="S101" s="85"/>
      <c r="T101" s="85"/>
    </row>
    <row r="102" spans="1:20" ht="15" customHeight="1" x14ac:dyDescent="0.25">
      <c r="A102" s="41"/>
      <c r="B102" s="215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484"/>
      <c r="O102" s="485"/>
      <c r="P102" s="485"/>
      <c r="Q102" s="486"/>
      <c r="R102" s="85"/>
      <c r="S102" s="85"/>
      <c r="T102" s="85"/>
    </row>
    <row r="103" spans="1:20" ht="15" customHeight="1" x14ac:dyDescent="0.25">
      <c r="A103" s="41"/>
      <c r="B103" s="215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484"/>
      <c r="O103" s="485"/>
      <c r="P103" s="485"/>
      <c r="Q103" s="486"/>
      <c r="R103" s="85"/>
      <c r="S103" s="85"/>
      <c r="T103" s="85"/>
    </row>
    <row r="104" spans="1:20" ht="15" customHeight="1" x14ac:dyDescent="0.25">
      <c r="A104" s="41"/>
      <c r="B104" s="215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484"/>
      <c r="O104" s="485"/>
      <c r="P104" s="485"/>
      <c r="Q104" s="486"/>
      <c r="R104" s="85"/>
      <c r="S104" s="85"/>
      <c r="T104" s="85"/>
    </row>
    <row r="105" spans="1:20" ht="15" customHeight="1" x14ac:dyDescent="0.25">
      <c r="A105" s="41"/>
      <c r="B105" s="215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484"/>
      <c r="O105" s="485"/>
      <c r="P105" s="485"/>
      <c r="Q105" s="486"/>
      <c r="R105" s="85"/>
      <c r="S105" s="85"/>
      <c r="T105" s="85"/>
    </row>
    <row r="106" spans="1:20" ht="15" customHeight="1" x14ac:dyDescent="0.25">
      <c r="A106" s="41"/>
      <c r="B106" s="215"/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484"/>
      <c r="O106" s="485"/>
      <c r="P106" s="485"/>
      <c r="Q106" s="486"/>
      <c r="R106" s="85"/>
      <c r="S106" s="85"/>
      <c r="T106" s="85"/>
    </row>
    <row r="107" spans="1:20" ht="15" customHeight="1" x14ac:dyDescent="0.25">
      <c r="A107" s="41"/>
      <c r="B107" s="215"/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484"/>
      <c r="O107" s="485"/>
      <c r="P107" s="485"/>
      <c r="Q107" s="486"/>
      <c r="R107" s="85"/>
      <c r="S107" s="85"/>
      <c r="T107" s="85"/>
    </row>
    <row r="108" spans="1:20" ht="15" customHeight="1" x14ac:dyDescent="0.25">
      <c r="A108" s="41"/>
      <c r="B108" s="215"/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484"/>
      <c r="O108" s="485"/>
      <c r="P108" s="485"/>
      <c r="Q108" s="486"/>
      <c r="R108" s="85"/>
      <c r="S108" s="85"/>
      <c r="T108" s="85"/>
    </row>
    <row r="109" spans="1:20" ht="15" customHeight="1" x14ac:dyDescent="0.25">
      <c r="A109" s="41"/>
      <c r="B109" s="215" t="s">
        <v>621</v>
      </c>
      <c r="C109" s="85"/>
      <c r="D109" s="85"/>
      <c r="E109" s="85"/>
      <c r="F109" s="69" t="s">
        <v>622</v>
      </c>
      <c r="G109" s="69"/>
      <c r="H109" s="85"/>
      <c r="I109" s="85"/>
      <c r="J109" s="85"/>
      <c r="K109" s="69" t="s">
        <v>474</v>
      </c>
      <c r="L109" s="85"/>
      <c r="M109" s="85"/>
      <c r="N109" s="484"/>
      <c r="O109" s="485"/>
      <c r="P109" s="485"/>
      <c r="Q109" s="486"/>
      <c r="R109" s="85"/>
      <c r="S109" s="85"/>
      <c r="T109" s="85"/>
    </row>
    <row r="110" spans="1:20" x14ac:dyDescent="0.25">
      <c r="A110" s="52"/>
      <c r="B110" s="74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444"/>
      <c r="O110" s="445"/>
      <c r="P110" s="445"/>
      <c r="Q110" s="446"/>
      <c r="R110" s="51"/>
      <c r="S110" s="51"/>
      <c r="T110" s="51"/>
    </row>
    <row r="111" spans="1:20" x14ac:dyDescent="0.25">
      <c r="A111" s="240" t="s">
        <v>659</v>
      </c>
      <c r="B111" s="216" t="s">
        <v>660</v>
      </c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373" t="s">
        <v>684</v>
      </c>
      <c r="N111" s="200"/>
      <c r="O111" s="382"/>
      <c r="P111" s="382"/>
      <c r="Q111" s="383"/>
      <c r="R111" s="51"/>
      <c r="S111" s="51"/>
      <c r="T111" s="51"/>
    </row>
    <row r="112" spans="1:20" x14ac:dyDescent="0.25">
      <c r="A112" s="242"/>
      <c r="B112" s="168" t="s">
        <v>661</v>
      </c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374" t="s">
        <v>662</v>
      </c>
      <c r="N112" s="444"/>
      <c r="O112" s="445"/>
      <c r="P112" s="445"/>
      <c r="Q112" s="446"/>
      <c r="R112" s="51"/>
      <c r="S112" s="51"/>
      <c r="T112" s="51"/>
    </row>
    <row r="113" spans="1:35" x14ac:dyDescent="0.25">
      <c r="A113" s="17"/>
      <c r="B113" s="69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</row>
    <row r="114" spans="1:35" x14ac:dyDescent="0.25">
      <c r="A114" s="53" t="s">
        <v>150</v>
      </c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1"/>
      <c r="S114" s="51"/>
      <c r="T114" s="51"/>
    </row>
    <row r="115" spans="1:35" x14ac:dyDescent="0.25">
      <c r="A115" s="121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</row>
    <row r="116" spans="1:35" x14ac:dyDescent="0.25">
      <c r="A116" s="122" t="str">
        <f>IF(Oplysningsside!$B$15="",1,Oplysningsside!$B$15)</f>
        <v>Bi-plan</v>
      </c>
      <c r="B116" s="283" t="s">
        <v>445</v>
      </c>
      <c r="C116" s="216"/>
      <c r="D116" s="216"/>
      <c r="E116" s="216"/>
      <c r="F116" s="216"/>
      <c r="G116" s="216"/>
      <c r="H116" s="216"/>
      <c r="I116" s="216"/>
      <c r="J116" s="264"/>
      <c r="K116" s="102"/>
      <c r="L116" s="258" t="s">
        <v>682</v>
      </c>
      <c r="M116" s="49"/>
      <c r="N116" s="49"/>
      <c r="O116" s="49"/>
      <c r="P116" s="216"/>
      <c r="Q116" s="217"/>
      <c r="R116" s="51"/>
      <c r="S116" s="51"/>
      <c r="T116" s="51"/>
    </row>
    <row r="117" spans="1:35" x14ac:dyDescent="0.25">
      <c r="A117" s="288"/>
      <c r="B117" s="244" t="s">
        <v>516</v>
      </c>
      <c r="C117" s="241"/>
      <c r="D117" s="215"/>
      <c r="E117" s="215"/>
      <c r="F117" s="215"/>
      <c r="G117" s="215"/>
      <c r="H117" s="215"/>
      <c r="I117" s="215"/>
      <c r="J117" s="226"/>
      <c r="K117" s="221">
        <f>IF($A$116="","",IF($A$116="Mini C bue",5,30))</f>
        <v>30</v>
      </c>
      <c r="L117" s="259" t="s">
        <v>119</v>
      </c>
      <c r="M117" s="215"/>
      <c r="N117" s="215"/>
      <c r="O117" s="215"/>
      <c r="P117" s="215"/>
      <c r="Q117" s="226"/>
      <c r="R117" s="51"/>
      <c r="S117" s="51"/>
      <c r="T117" s="51"/>
    </row>
    <row r="118" spans="1:35" x14ac:dyDescent="0.25">
      <c r="A118" s="106"/>
      <c r="B118" s="395" t="s">
        <v>675</v>
      </c>
      <c r="E118" s="215"/>
      <c r="F118" s="241"/>
      <c r="G118" s="215"/>
      <c r="H118" s="215"/>
      <c r="I118" s="215"/>
      <c r="J118" s="226"/>
      <c r="K118" s="106"/>
      <c r="L118" s="243" t="s">
        <v>679</v>
      </c>
      <c r="M118" s="215"/>
      <c r="N118" s="215"/>
      <c r="O118" s="215"/>
      <c r="P118" s="215"/>
      <c r="Q118" s="226"/>
      <c r="R118" s="51"/>
      <c r="S118" s="51"/>
      <c r="T118" s="51"/>
    </row>
    <row r="119" spans="1:35" x14ac:dyDescent="0.25">
      <c r="A119" s="106"/>
      <c r="B119" s="215" t="s">
        <v>118</v>
      </c>
      <c r="C119" s="215"/>
      <c r="D119" s="215"/>
      <c r="E119" s="215"/>
      <c r="F119" s="215"/>
      <c r="G119" s="215"/>
      <c r="H119" s="215"/>
      <c r="I119" s="215"/>
      <c r="J119" s="226"/>
      <c r="K119" s="221"/>
      <c r="L119" s="80"/>
      <c r="M119" s="51"/>
      <c r="N119" s="51"/>
      <c r="O119" s="51"/>
      <c r="P119" s="241"/>
      <c r="Q119" s="226"/>
      <c r="R119" s="51"/>
      <c r="S119" s="51"/>
      <c r="T119" s="51"/>
      <c r="U119" s="51"/>
      <c r="V119" s="51"/>
      <c r="W119" s="51"/>
      <c r="X119" s="51"/>
      <c r="Y119" s="51"/>
    </row>
    <row r="120" spans="1:35" x14ac:dyDescent="0.25">
      <c r="A120" s="106"/>
      <c r="B120" s="246" t="s">
        <v>197</v>
      </c>
      <c r="C120" s="215"/>
      <c r="D120" s="241"/>
      <c r="E120" s="215"/>
      <c r="F120" s="215"/>
      <c r="G120" s="215"/>
      <c r="H120" s="215"/>
      <c r="I120" s="215"/>
      <c r="J120" s="226"/>
      <c r="K120" s="340" t="s">
        <v>562</v>
      </c>
      <c r="L120" s="299" t="s">
        <v>564</v>
      </c>
      <c r="M120" s="215"/>
      <c r="N120" s="215"/>
      <c r="O120" s="215"/>
      <c r="P120" s="215"/>
      <c r="Q120" s="226"/>
      <c r="R120" s="51"/>
      <c r="S120" s="51"/>
      <c r="T120" s="51"/>
      <c r="U120" s="215"/>
      <c r="V120" s="51"/>
      <c r="W120" s="215"/>
      <c r="X120" s="215"/>
      <c r="Y120" s="215"/>
      <c r="Z120" s="215"/>
    </row>
    <row r="121" spans="1:35" x14ac:dyDescent="0.25">
      <c r="A121" s="106"/>
      <c r="B121" s="244" t="s">
        <v>383</v>
      </c>
      <c r="C121" s="215"/>
      <c r="D121" s="215"/>
      <c r="E121" s="215"/>
      <c r="F121" s="215"/>
      <c r="G121" s="215"/>
      <c r="H121" s="215"/>
      <c r="I121" s="215"/>
      <c r="J121" s="226"/>
      <c r="K121" s="106"/>
      <c r="L121" s="244" t="s">
        <v>455</v>
      </c>
      <c r="M121" s="215"/>
      <c r="N121" s="215"/>
      <c r="O121" s="241"/>
      <c r="P121" s="241"/>
      <c r="Q121" s="226"/>
      <c r="R121" s="51"/>
      <c r="S121" s="51"/>
      <c r="T121" s="51"/>
      <c r="U121" s="215"/>
      <c r="V121" s="219"/>
      <c r="W121" s="215"/>
      <c r="X121" s="215"/>
      <c r="Y121" s="215"/>
      <c r="Z121" s="215"/>
    </row>
    <row r="122" spans="1:35" x14ac:dyDescent="0.25">
      <c r="A122" s="106"/>
      <c r="B122" s="244" t="s">
        <v>434</v>
      </c>
      <c r="C122" s="215"/>
      <c r="D122" s="215"/>
      <c r="E122" s="215"/>
      <c r="F122" s="215"/>
      <c r="G122" s="215"/>
      <c r="H122" s="215"/>
      <c r="I122" s="215"/>
      <c r="J122" s="226"/>
      <c r="K122" s="193"/>
      <c r="L122" s="238"/>
      <c r="M122" s="215"/>
      <c r="N122" s="215"/>
      <c r="O122" s="215"/>
      <c r="P122" s="215"/>
      <c r="Q122" s="226"/>
      <c r="R122" s="51"/>
      <c r="S122" s="51"/>
      <c r="T122" s="51"/>
      <c r="U122" s="215"/>
      <c r="V122" s="219"/>
      <c r="W122" s="215"/>
      <c r="X122" s="215"/>
      <c r="Y122" s="215"/>
      <c r="Z122" s="215"/>
    </row>
    <row r="123" spans="1:35" x14ac:dyDescent="0.25">
      <c r="A123" s="221"/>
      <c r="B123" s="244"/>
      <c r="C123" s="215"/>
      <c r="D123" s="215"/>
      <c r="E123" s="215"/>
      <c r="F123" s="215"/>
      <c r="G123" s="215"/>
      <c r="H123" s="215"/>
      <c r="I123" s="215"/>
      <c r="J123" s="226"/>
      <c r="K123" s="193"/>
      <c r="L123" s="334"/>
      <c r="M123" s="215"/>
      <c r="N123" s="215"/>
      <c r="O123" s="215"/>
      <c r="P123" s="215"/>
      <c r="Q123" s="226"/>
      <c r="R123" s="51"/>
      <c r="S123" s="51"/>
      <c r="T123" s="51"/>
      <c r="U123" s="215"/>
      <c r="V123" s="219"/>
      <c r="W123" s="215"/>
      <c r="X123" s="215"/>
      <c r="Y123" s="215"/>
      <c r="Z123" s="215"/>
    </row>
    <row r="124" spans="1:35" x14ac:dyDescent="0.25">
      <c r="A124" s="223"/>
      <c r="B124" s="326" t="s">
        <v>457</v>
      </c>
      <c r="C124" s="168"/>
      <c r="D124" s="168"/>
      <c r="E124" s="168"/>
      <c r="F124" s="168"/>
      <c r="G124" s="168"/>
      <c r="H124" s="168"/>
      <c r="I124" s="168"/>
      <c r="J124" s="232"/>
      <c r="K124" s="197"/>
      <c r="L124" s="242"/>
      <c r="M124" s="168"/>
      <c r="N124" s="168"/>
      <c r="O124" s="168"/>
      <c r="P124" s="168"/>
      <c r="Q124" s="232"/>
      <c r="R124" s="51"/>
      <c r="S124" s="23" t="s">
        <v>458</v>
      </c>
      <c r="T124" s="168"/>
      <c r="U124" s="169"/>
      <c r="V124" s="168"/>
      <c r="W124" s="168"/>
      <c r="X124" s="168"/>
      <c r="Y124" s="215"/>
    </row>
    <row r="125" spans="1:35" x14ac:dyDescent="0.25">
      <c r="A125" s="55"/>
      <c r="B125" s="261"/>
      <c r="C125" s="182"/>
      <c r="D125" s="182"/>
      <c r="E125" s="173"/>
      <c r="F125" s="173"/>
      <c r="G125" s="173"/>
      <c r="H125" s="173"/>
      <c r="I125" s="173"/>
      <c r="J125" s="173"/>
      <c r="K125" s="55"/>
      <c r="L125" s="174"/>
      <c r="M125" s="174" t="s">
        <v>359</v>
      </c>
      <c r="N125" s="174" t="s">
        <v>359</v>
      </c>
      <c r="O125" s="55" t="s">
        <v>359</v>
      </c>
      <c r="P125" s="173"/>
      <c r="Q125" s="173"/>
      <c r="R125" s="219"/>
      <c r="S125" s="55"/>
      <c r="T125" s="171"/>
      <c r="U125" s="47"/>
      <c r="V125" s="47"/>
      <c r="W125" s="172"/>
      <c r="X125" s="172"/>
      <c r="Y125" s="173"/>
      <c r="Z125" s="173"/>
      <c r="AA125" s="173"/>
      <c r="AB125" s="173"/>
      <c r="AC125" s="55"/>
      <c r="AD125" s="174" t="s">
        <v>359</v>
      </c>
      <c r="AE125" s="174" t="s">
        <v>359</v>
      </c>
      <c r="AF125" s="174" t="s">
        <v>359</v>
      </c>
      <c r="AG125" s="55" t="s">
        <v>359</v>
      </c>
      <c r="AH125" s="173"/>
      <c r="AI125" s="173"/>
    </row>
    <row r="126" spans="1:35" x14ac:dyDescent="0.25">
      <c r="A126" s="56" t="s">
        <v>42</v>
      </c>
      <c r="B126" s="175" t="s">
        <v>56</v>
      </c>
      <c r="C126" s="47"/>
      <c r="D126" s="176"/>
      <c r="E126" s="56" t="s">
        <v>107</v>
      </c>
      <c r="F126" s="56" t="s">
        <v>400</v>
      </c>
      <c r="G126" s="56" t="s">
        <v>584</v>
      </c>
      <c r="H126" s="56" t="s">
        <v>46</v>
      </c>
      <c r="I126" s="56" t="s">
        <v>53</v>
      </c>
      <c r="J126" s="56" t="s">
        <v>44</v>
      </c>
      <c r="K126" s="164" t="s">
        <v>45</v>
      </c>
      <c r="L126" s="56" t="s">
        <v>291</v>
      </c>
      <c r="M126" s="56" t="s">
        <v>291</v>
      </c>
      <c r="N126" s="56" t="s">
        <v>291</v>
      </c>
      <c r="O126" s="56" t="s">
        <v>291</v>
      </c>
      <c r="P126" s="56" t="s">
        <v>252</v>
      </c>
      <c r="Q126" s="56" t="s">
        <v>61</v>
      </c>
      <c r="R126" s="219"/>
      <c r="S126" s="56" t="s">
        <v>42</v>
      </c>
      <c r="T126" s="175" t="s">
        <v>56</v>
      </c>
      <c r="U126" s="47"/>
      <c r="V126" s="176"/>
      <c r="W126" s="56" t="s">
        <v>107</v>
      </c>
      <c r="X126" s="56" t="s">
        <v>400</v>
      </c>
      <c r="Y126" s="56" t="s">
        <v>584</v>
      </c>
      <c r="Z126" s="56" t="s">
        <v>46</v>
      </c>
      <c r="AA126" s="56" t="s">
        <v>53</v>
      </c>
      <c r="AB126" s="56" t="s">
        <v>44</v>
      </c>
      <c r="AC126" s="56" t="s">
        <v>45</v>
      </c>
      <c r="AD126" s="56" t="s">
        <v>291</v>
      </c>
      <c r="AE126" s="56" t="s">
        <v>291</v>
      </c>
      <c r="AF126" s="56" t="s">
        <v>291</v>
      </c>
      <c r="AG126" s="56" t="s">
        <v>291</v>
      </c>
      <c r="AH126" s="56" t="s">
        <v>252</v>
      </c>
      <c r="AI126" s="56" t="s">
        <v>61</v>
      </c>
    </row>
    <row r="127" spans="1:35" x14ac:dyDescent="0.25">
      <c r="A127" s="56"/>
      <c r="B127" s="175" t="s">
        <v>43</v>
      </c>
      <c r="C127" s="47"/>
      <c r="D127" s="176"/>
      <c r="E127" s="56" t="s">
        <v>108</v>
      </c>
      <c r="F127" s="56" t="s">
        <v>103</v>
      </c>
      <c r="G127" s="56" t="s">
        <v>585</v>
      </c>
      <c r="H127" s="56" t="s">
        <v>48</v>
      </c>
      <c r="I127" s="164" t="str">
        <f>IF($A$122="","",IF($A$122="rektangulær","kant/diagonal","diameter"))</f>
        <v/>
      </c>
      <c r="J127" s="56"/>
      <c r="K127" s="56"/>
      <c r="L127" s="164" t="str">
        <f>IF($K$121="","",$K$121)</f>
        <v/>
      </c>
      <c r="M127" s="164" t="str">
        <f>IF($K$121="","",$K$121)</f>
        <v/>
      </c>
      <c r="N127" s="164" t="str">
        <f>IF($K$121="","",$K$121)</f>
        <v/>
      </c>
      <c r="O127" s="164" t="s">
        <v>60</v>
      </c>
      <c r="P127" s="56"/>
      <c r="Q127" s="56"/>
      <c r="R127" s="219"/>
      <c r="S127" s="56"/>
      <c r="T127" s="175" t="s">
        <v>43</v>
      </c>
      <c r="U127" s="47"/>
      <c r="V127" s="176"/>
      <c r="W127" s="56" t="s">
        <v>108</v>
      </c>
      <c r="X127" s="56" t="s">
        <v>103</v>
      </c>
      <c r="Y127" s="56" t="s">
        <v>585</v>
      </c>
      <c r="Z127" s="56" t="s">
        <v>48</v>
      </c>
      <c r="AA127" s="56" t="str">
        <f>IF($A$122="","",IF($A$122="rektangulær","kantlængde","diameter"))</f>
        <v/>
      </c>
      <c r="AB127" s="56"/>
      <c r="AC127" s="56"/>
      <c r="AD127" s="164" t="str">
        <f>IF($K$121="","",$K$121)</f>
        <v/>
      </c>
      <c r="AE127" s="164" t="str">
        <f>IF($K$121="","",$K$121)</f>
        <v/>
      </c>
      <c r="AF127" s="164" t="s">
        <v>399</v>
      </c>
      <c r="AG127" s="164" t="s">
        <v>60</v>
      </c>
      <c r="AH127" s="56"/>
      <c r="AI127" s="56"/>
    </row>
    <row r="128" spans="1:35" x14ac:dyDescent="0.25">
      <c r="A128" s="57"/>
      <c r="B128" s="177"/>
      <c r="C128" s="54"/>
      <c r="D128" s="178"/>
      <c r="E128" s="57"/>
      <c r="F128" s="57"/>
      <c r="G128" s="57"/>
      <c r="H128" s="57"/>
      <c r="I128" s="57" t="s">
        <v>54</v>
      </c>
      <c r="J128" s="57"/>
      <c r="K128" s="57"/>
      <c r="L128" s="57" t="s">
        <v>59</v>
      </c>
      <c r="M128" s="57" t="s">
        <v>247</v>
      </c>
      <c r="N128" s="57" t="s">
        <v>58</v>
      </c>
      <c r="O128" s="57" t="s">
        <v>58</v>
      </c>
      <c r="P128" s="165" t="s">
        <v>253</v>
      </c>
      <c r="Q128" s="165" t="s">
        <v>123</v>
      </c>
      <c r="R128" s="219"/>
      <c r="S128" s="57"/>
      <c r="T128" s="177"/>
      <c r="U128" s="54"/>
      <c r="V128" s="178"/>
      <c r="W128" s="57"/>
      <c r="X128" s="57"/>
      <c r="Y128" s="57"/>
      <c r="Z128" s="57"/>
      <c r="AA128" s="57" t="s">
        <v>54</v>
      </c>
      <c r="AB128" s="57"/>
      <c r="AC128" s="57"/>
      <c r="AD128" s="57" t="s">
        <v>59</v>
      </c>
      <c r="AE128" s="57" t="s">
        <v>247</v>
      </c>
      <c r="AF128" s="57" t="s">
        <v>58</v>
      </c>
      <c r="AG128" s="57" t="s">
        <v>58</v>
      </c>
      <c r="AH128" s="165" t="s">
        <v>253</v>
      </c>
      <c r="AI128" s="165" t="s">
        <v>123</v>
      </c>
    </row>
    <row r="129" spans="1:35" x14ac:dyDescent="0.25">
      <c r="A129" s="58">
        <v>1</v>
      </c>
      <c r="B129" s="417"/>
      <c r="C129" s="496"/>
      <c r="D129" s="418"/>
      <c r="E129" s="84"/>
      <c r="F129" s="84"/>
      <c r="G129" s="84"/>
      <c r="H129" s="84"/>
      <c r="I129" s="84"/>
      <c r="J129" s="84"/>
      <c r="K129" s="84"/>
      <c r="L129" s="338"/>
      <c r="M129" s="255" t="str">
        <f>IF(OR(L129="",$A$120=""),"",IF($A$120="ionkammer",L129,L129*1.4))</f>
        <v/>
      </c>
      <c r="N129" s="179" t="str">
        <f>IF(OR($K$116="",$K$118="",L129="",$A$120=""),"",M129*($K$116-$K$118)^2/($K$116-$K$117)^2)</f>
        <v/>
      </c>
      <c r="O129" s="327" t="str">
        <f>IF(OR($K$116="",$K$118="",L129="",$A$120="",$K$121=""),"",N129*VLOOKUP($K$121,Data!$L$32:$M$40,2,FALSE))</f>
        <v/>
      </c>
      <c r="P129" s="180" t="str">
        <f>IF(OR($A$116="",$K$118="",L129="",$A$120=""),"",IF($A$116="Mini C bue",5,30))</f>
        <v/>
      </c>
      <c r="Q129" s="58" t="str">
        <f>IF(OR($K$116="",$K$118="",L129="",$K$121=""),"",IF(O129&gt;P129,"Ikke OK","OK"))</f>
        <v/>
      </c>
      <c r="R129" s="219"/>
      <c r="S129" s="58">
        <v>1</v>
      </c>
      <c r="T129" s="417"/>
      <c r="U129" s="496"/>
      <c r="V129" s="418"/>
      <c r="W129" s="84"/>
      <c r="X129" s="84"/>
      <c r="Y129" s="84"/>
      <c r="Z129" s="84"/>
      <c r="AA129" s="84"/>
      <c r="AB129" s="84"/>
      <c r="AC129" s="84"/>
      <c r="AD129" s="84"/>
      <c r="AE129" s="255" t="str">
        <f t="shared" ref="AE129:AE138" si="4">IF(OR(AD129="",$A$120=""),"",IF($A$120="ionkammer",AD129,AD129*1.4))</f>
        <v/>
      </c>
      <c r="AF129" s="255" t="str">
        <f t="shared" ref="AF129:AF138" si="5">IF(OR($K$116="",$K$118="",AD129="",$A$120=""),"",AE129*($K$116-$K$118)^2/($K$116-$K$117)^2)</f>
        <v/>
      </c>
      <c r="AG129" s="327" t="str">
        <f>IF(OR($K$116="",$K$118="",AD129="",$A$120="",$K$121=""),"",AF129*VLOOKUP($K$121,Data!$L$32:$M$40,2,FALSE))</f>
        <v/>
      </c>
      <c r="AH129" s="180" t="str">
        <f t="shared" ref="AH129:AH138" si="6">IF(OR($A$116="",$K$118="",AD129="",$A$120=""),"",IF($A$116="Mini C bue",5,30))</f>
        <v/>
      </c>
      <c r="AI129" s="58" t="str">
        <f>IF(OR($K$116="",$K$118="",AD129="",$K$121=""),"",IF(AG129&gt;AH129,"Ikke OK","OK"))</f>
        <v/>
      </c>
    </row>
    <row r="130" spans="1:35" x14ac:dyDescent="0.25">
      <c r="A130" s="58">
        <v>2</v>
      </c>
      <c r="B130" s="417"/>
      <c r="C130" s="496"/>
      <c r="D130" s="418"/>
      <c r="E130" s="84"/>
      <c r="F130" s="84"/>
      <c r="G130" s="84"/>
      <c r="H130" s="84"/>
      <c r="I130" s="84"/>
      <c r="J130" s="84"/>
      <c r="K130" s="84"/>
      <c r="L130" s="338"/>
      <c r="M130" s="255" t="str">
        <f t="shared" ref="M130:M138" si="7">IF(OR(L130="",$A$120=""),"",IF($A$120="ionkammer",L130,L130*1.4))</f>
        <v/>
      </c>
      <c r="N130" s="179" t="str">
        <f t="shared" ref="N130:N138" si="8">IF(OR($K$116="",$K$118="",L130="",$A$120=""),"",M130*($K$116-$K$118)^2/($K$116-$K$117)^2)</f>
        <v/>
      </c>
      <c r="O130" s="327" t="str">
        <f>IF(OR($K$116="",$K$118="",L130="",$A$120="",$K$121=""),"",N130*VLOOKUP($K$121,Data!$L$32:$M$40,2,FALSE))</f>
        <v/>
      </c>
      <c r="P130" s="180" t="str">
        <f t="shared" ref="P130:P138" si="9">IF(OR($A$116="",$K$118="",L130="",$A$120=""),"",IF($A$116="Mini C bue",5,30))</f>
        <v/>
      </c>
      <c r="Q130" s="58" t="str">
        <f t="shared" ref="Q130:Q138" si="10">IF(OR($K$116="",$K$118="",L130="",$K$121=""),"",IF(O130&gt;P130,"Ikke OK","OK"))</f>
        <v/>
      </c>
      <c r="R130" s="219"/>
      <c r="S130" s="58">
        <v>2</v>
      </c>
      <c r="T130" s="417"/>
      <c r="U130" s="496"/>
      <c r="V130" s="418"/>
      <c r="W130" s="84"/>
      <c r="X130" s="84"/>
      <c r="Y130" s="84"/>
      <c r="Z130" s="84"/>
      <c r="AA130" s="84"/>
      <c r="AB130" s="84"/>
      <c r="AC130" s="84"/>
      <c r="AD130" s="84"/>
      <c r="AE130" s="255" t="str">
        <f t="shared" si="4"/>
        <v/>
      </c>
      <c r="AF130" s="255" t="str">
        <f t="shared" si="5"/>
        <v/>
      </c>
      <c r="AG130" s="327" t="str">
        <f>IF(OR($K$116="",$K$118="",AD130="",$A$120="",$K$121=""),"",AF130*VLOOKUP($K$121,Data!$L$32:$M$40,2,FALSE))</f>
        <v/>
      </c>
      <c r="AH130" s="180" t="str">
        <f t="shared" si="6"/>
        <v/>
      </c>
      <c r="AI130" s="58" t="str">
        <f t="shared" ref="AI130:AI138" si="11">IF(OR($K$116="",$K$118="",AD130="",$K$121=""),"",IF(AG130&gt;AH130,"Ikke OK","OK"))</f>
        <v/>
      </c>
    </row>
    <row r="131" spans="1:35" x14ac:dyDescent="0.25">
      <c r="A131" s="58">
        <v>3</v>
      </c>
      <c r="B131" s="417"/>
      <c r="C131" s="496"/>
      <c r="D131" s="418"/>
      <c r="E131" s="84"/>
      <c r="F131" s="84"/>
      <c r="G131" s="84"/>
      <c r="H131" s="84"/>
      <c r="I131" s="84"/>
      <c r="J131" s="84"/>
      <c r="K131" s="84"/>
      <c r="L131" s="338"/>
      <c r="M131" s="255" t="str">
        <f t="shared" si="7"/>
        <v/>
      </c>
      <c r="N131" s="179" t="str">
        <f t="shared" si="8"/>
        <v/>
      </c>
      <c r="O131" s="327" t="str">
        <f>IF(OR($K$116="",$K$118="",L131="",$A$120="",$K$121=""),"",N131*VLOOKUP($K$121,Data!$L$32:$M$40,2,FALSE))</f>
        <v/>
      </c>
      <c r="P131" s="180" t="str">
        <f t="shared" si="9"/>
        <v/>
      </c>
      <c r="Q131" s="58" t="str">
        <f t="shared" si="10"/>
        <v/>
      </c>
      <c r="R131" s="219"/>
      <c r="S131" s="58">
        <v>3</v>
      </c>
      <c r="T131" s="417"/>
      <c r="U131" s="496"/>
      <c r="V131" s="418"/>
      <c r="W131" s="84"/>
      <c r="X131" s="84"/>
      <c r="Y131" s="84"/>
      <c r="Z131" s="84"/>
      <c r="AA131" s="84"/>
      <c r="AB131" s="84"/>
      <c r="AC131" s="84"/>
      <c r="AD131" s="84"/>
      <c r="AE131" s="255" t="str">
        <f t="shared" si="4"/>
        <v/>
      </c>
      <c r="AF131" s="255" t="str">
        <f t="shared" si="5"/>
        <v/>
      </c>
      <c r="AG131" s="327" t="str">
        <f>IF(OR($K$116="",$K$118="",AD131="",$A$120="",$K$121=""),"",AF131*VLOOKUP($K$121,Data!$L$32:$M$40,2,FALSE))</f>
        <v/>
      </c>
      <c r="AH131" s="180" t="str">
        <f t="shared" si="6"/>
        <v/>
      </c>
      <c r="AI131" s="58" t="str">
        <f t="shared" si="11"/>
        <v/>
      </c>
    </row>
    <row r="132" spans="1:35" x14ac:dyDescent="0.25">
      <c r="A132" s="58">
        <v>4</v>
      </c>
      <c r="B132" s="417"/>
      <c r="C132" s="496"/>
      <c r="D132" s="418"/>
      <c r="E132" s="84"/>
      <c r="F132" s="84"/>
      <c r="G132" s="84"/>
      <c r="H132" s="84"/>
      <c r="I132" s="84"/>
      <c r="J132" s="84"/>
      <c r="K132" s="84"/>
      <c r="L132" s="338"/>
      <c r="M132" s="255" t="str">
        <f t="shared" si="7"/>
        <v/>
      </c>
      <c r="N132" s="179" t="str">
        <f t="shared" si="8"/>
        <v/>
      </c>
      <c r="O132" s="327" t="str">
        <f>IF(OR($K$116="",$K$118="",L132="",$A$120="",$K$121=""),"",N132*VLOOKUP($K$121,Data!$L$32:$M$40,2,FALSE))</f>
        <v/>
      </c>
      <c r="P132" s="180" t="str">
        <f t="shared" si="9"/>
        <v/>
      </c>
      <c r="Q132" s="58" t="str">
        <f t="shared" si="10"/>
        <v/>
      </c>
      <c r="R132" s="219"/>
      <c r="S132" s="58">
        <v>4</v>
      </c>
      <c r="T132" s="417"/>
      <c r="U132" s="496"/>
      <c r="V132" s="418"/>
      <c r="W132" s="84"/>
      <c r="X132" s="84"/>
      <c r="Y132" s="84"/>
      <c r="Z132" s="84"/>
      <c r="AA132" s="84"/>
      <c r="AB132" s="84"/>
      <c r="AC132" s="84"/>
      <c r="AD132" s="84"/>
      <c r="AE132" s="255" t="str">
        <f t="shared" si="4"/>
        <v/>
      </c>
      <c r="AF132" s="255" t="str">
        <f t="shared" si="5"/>
        <v/>
      </c>
      <c r="AG132" s="327" t="str">
        <f>IF(OR($K$116="",$K$118="",AD132="",$A$120="",$K$121=""),"",AF132*VLOOKUP($K$121,Data!$L$32:$M$40,2,FALSE))</f>
        <v/>
      </c>
      <c r="AH132" s="180" t="str">
        <f t="shared" si="6"/>
        <v/>
      </c>
      <c r="AI132" s="58" t="str">
        <f t="shared" si="11"/>
        <v/>
      </c>
    </row>
    <row r="133" spans="1:35" x14ac:dyDescent="0.25">
      <c r="A133" s="58">
        <v>5</v>
      </c>
      <c r="B133" s="417"/>
      <c r="C133" s="496"/>
      <c r="D133" s="418"/>
      <c r="E133" s="84"/>
      <c r="F133" s="84"/>
      <c r="G133" s="84"/>
      <c r="H133" s="84"/>
      <c r="I133" s="84"/>
      <c r="J133" s="84"/>
      <c r="K133" s="84"/>
      <c r="L133" s="338"/>
      <c r="M133" s="255" t="str">
        <f t="shared" si="7"/>
        <v/>
      </c>
      <c r="N133" s="179" t="str">
        <f t="shared" si="8"/>
        <v/>
      </c>
      <c r="O133" s="327" t="str">
        <f>IF(OR($K$116="",$K$118="",L133="",$A$120="",$K$121=""),"",N133*VLOOKUP($K$121,Data!$L$32:$M$40,2,FALSE))</f>
        <v/>
      </c>
      <c r="P133" s="180" t="str">
        <f t="shared" si="9"/>
        <v/>
      </c>
      <c r="Q133" s="58" t="str">
        <f t="shared" si="10"/>
        <v/>
      </c>
      <c r="R133" s="219"/>
      <c r="S133" s="58">
        <v>5</v>
      </c>
      <c r="T133" s="417"/>
      <c r="U133" s="496"/>
      <c r="V133" s="418"/>
      <c r="W133" s="84"/>
      <c r="X133" s="84"/>
      <c r="Y133" s="84"/>
      <c r="Z133" s="84"/>
      <c r="AA133" s="84"/>
      <c r="AB133" s="84"/>
      <c r="AC133" s="84"/>
      <c r="AD133" s="84"/>
      <c r="AE133" s="255" t="str">
        <f t="shared" si="4"/>
        <v/>
      </c>
      <c r="AF133" s="255" t="str">
        <f t="shared" si="5"/>
        <v/>
      </c>
      <c r="AG133" s="327" t="str">
        <f>IF(OR($K$116="",$K$118="",AD133="",$A$120="",$K$121=""),"",AF133*VLOOKUP($K$121,Data!$L$32:$M$40,2,FALSE))</f>
        <v/>
      </c>
      <c r="AH133" s="180" t="str">
        <f t="shared" si="6"/>
        <v/>
      </c>
      <c r="AI133" s="58" t="str">
        <f t="shared" si="11"/>
        <v/>
      </c>
    </row>
    <row r="134" spans="1:35" x14ac:dyDescent="0.25">
      <c r="A134" s="58">
        <v>6</v>
      </c>
      <c r="B134" s="417"/>
      <c r="C134" s="496"/>
      <c r="D134" s="418"/>
      <c r="E134" s="84"/>
      <c r="F134" s="84"/>
      <c r="G134" s="84"/>
      <c r="H134" s="84"/>
      <c r="I134" s="84"/>
      <c r="J134" s="84"/>
      <c r="K134" s="84"/>
      <c r="L134" s="338"/>
      <c r="M134" s="255" t="str">
        <f t="shared" si="7"/>
        <v/>
      </c>
      <c r="N134" s="179" t="str">
        <f t="shared" si="8"/>
        <v/>
      </c>
      <c r="O134" s="327" t="str">
        <f>IF(OR($K$116="",$K$118="",L134="",$A$120="",$K$121=""),"",N134*VLOOKUP($K$121,Data!$L$32:$M$40,2,FALSE))</f>
        <v/>
      </c>
      <c r="P134" s="180" t="str">
        <f t="shared" si="9"/>
        <v/>
      </c>
      <c r="Q134" s="58" t="str">
        <f t="shared" si="10"/>
        <v/>
      </c>
      <c r="R134" s="219"/>
      <c r="S134" s="58">
        <v>6</v>
      </c>
      <c r="T134" s="417"/>
      <c r="U134" s="496"/>
      <c r="V134" s="418"/>
      <c r="W134" s="84"/>
      <c r="X134" s="84"/>
      <c r="Y134" s="84"/>
      <c r="Z134" s="84"/>
      <c r="AA134" s="84"/>
      <c r="AB134" s="84"/>
      <c r="AC134" s="84"/>
      <c r="AD134" s="84"/>
      <c r="AE134" s="255" t="str">
        <f t="shared" si="4"/>
        <v/>
      </c>
      <c r="AF134" s="255" t="str">
        <f t="shared" si="5"/>
        <v/>
      </c>
      <c r="AG134" s="327" t="str">
        <f>IF(OR($K$116="",$K$118="",AD134="",$A$120="",$K$121=""),"",AF134*VLOOKUP($K$121,Data!$L$32:$M$40,2,FALSE))</f>
        <v/>
      </c>
      <c r="AH134" s="180" t="str">
        <f t="shared" si="6"/>
        <v/>
      </c>
      <c r="AI134" s="58" t="str">
        <f t="shared" si="11"/>
        <v/>
      </c>
    </row>
    <row r="135" spans="1:35" x14ac:dyDescent="0.25">
      <c r="A135" s="58">
        <v>7</v>
      </c>
      <c r="B135" s="417"/>
      <c r="C135" s="496"/>
      <c r="D135" s="418"/>
      <c r="E135" s="84"/>
      <c r="F135" s="84"/>
      <c r="G135" s="84"/>
      <c r="H135" s="84"/>
      <c r="I135" s="84"/>
      <c r="J135" s="84"/>
      <c r="K135" s="84"/>
      <c r="L135" s="338"/>
      <c r="M135" s="255" t="str">
        <f t="shared" si="7"/>
        <v/>
      </c>
      <c r="N135" s="179" t="str">
        <f t="shared" si="8"/>
        <v/>
      </c>
      <c r="O135" s="327" t="str">
        <f>IF(OR($K$116="",$K$118="",L135="",$A$120="",$K$121=""),"",N135*VLOOKUP($K$121,Data!$L$32:$M$40,2,FALSE))</f>
        <v/>
      </c>
      <c r="P135" s="180" t="str">
        <f t="shared" si="9"/>
        <v/>
      </c>
      <c r="Q135" s="58" t="str">
        <f t="shared" si="10"/>
        <v/>
      </c>
      <c r="R135" s="219"/>
      <c r="S135" s="58">
        <v>7</v>
      </c>
      <c r="T135" s="417"/>
      <c r="U135" s="496"/>
      <c r="V135" s="418"/>
      <c r="W135" s="84"/>
      <c r="X135" s="84"/>
      <c r="Y135" s="84"/>
      <c r="Z135" s="84"/>
      <c r="AA135" s="84"/>
      <c r="AB135" s="84"/>
      <c r="AC135" s="84"/>
      <c r="AD135" s="84"/>
      <c r="AE135" s="255" t="str">
        <f t="shared" si="4"/>
        <v/>
      </c>
      <c r="AF135" s="255" t="str">
        <f t="shared" si="5"/>
        <v/>
      </c>
      <c r="AG135" s="327" t="str">
        <f>IF(OR($K$116="",$K$118="",AD135="",$A$120="",$K$121=""),"",AF135*VLOOKUP($K$121,Data!$L$32:$M$40,2,FALSE))</f>
        <v/>
      </c>
      <c r="AH135" s="180" t="str">
        <f t="shared" si="6"/>
        <v/>
      </c>
      <c r="AI135" s="58" t="str">
        <f t="shared" si="11"/>
        <v/>
      </c>
    </row>
    <row r="136" spans="1:35" x14ac:dyDescent="0.25">
      <c r="A136" s="58">
        <v>8</v>
      </c>
      <c r="B136" s="417"/>
      <c r="C136" s="496"/>
      <c r="D136" s="418"/>
      <c r="E136" s="84"/>
      <c r="F136" s="84"/>
      <c r="G136" s="84"/>
      <c r="H136" s="84"/>
      <c r="I136" s="84"/>
      <c r="J136" s="84"/>
      <c r="K136" s="84"/>
      <c r="L136" s="338"/>
      <c r="M136" s="255" t="str">
        <f t="shared" si="7"/>
        <v/>
      </c>
      <c r="N136" s="179" t="str">
        <f t="shared" si="8"/>
        <v/>
      </c>
      <c r="O136" s="327" t="str">
        <f>IF(OR($K$116="",$K$118="",L136="",$A$120="",$K$121=""),"",N136*VLOOKUP($K$121,Data!$L$32:$M$40,2,FALSE))</f>
        <v/>
      </c>
      <c r="P136" s="180" t="str">
        <f t="shared" si="9"/>
        <v/>
      </c>
      <c r="Q136" s="58" t="str">
        <f t="shared" si="10"/>
        <v/>
      </c>
      <c r="R136" s="219"/>
      <c r="S136" s="58">
        <v>8</v>
      </c>
      <c r="T136" s="417"/>
      <c r="U136" s="496"/>
      <c r="V136" s="418"/>
      <c r="W136" s="84"/>
      <c r="X136" s="84"/>
      <c r="Y136" s="84"/>
      <c r="Z136" s="84"/>
      <c r="AA136" s="84"/>
      <c r="AB136" s="84"/>
      <c r="AC136" s="84"/>
      <c r="AD136" s="84"/>
      <c r="AE136" s="255" t="str">
        <f t="shared" si="4"/>
        <v/>
      </c>
      <c r="AF136" s="255" t="str">
        <f t="shared" si="5"/>
        <v/>
      </c>
      <c r="AG136" s="327" t="str">
        <f>IF(OR($K$116="",$K$118="",AD136="",$A$120="",$K$121=""),"",AF136*VLOOKUP($K$121,Data!$L$32:$M$40,2,FALSE))</f>
        <v/>
      </c>
      <c r="AH136" s="180" t="str">
        <f t="shared" si="6"/>
        <v/>
      </c>
      <c r="AI136" s="58" t="str">
        <f t="shared" si="11"/>
        <v/>
      </c>
    </row>
    <row r="137" spans="1:35" x14ac:dyDescent="0.25">
      <c r="A137" s="58">
        <v>9</v>
      </c>
      <c r="B137" s="417"/>
      <c r="C137" s="496"/>
      <c r="D137" s="418"/>
      <c r="E137" s="84"/>
      <c r="F137" s="84"/>
      <c r="G137" s="84"/>
      <c r="H137" s="84"/>
      <c r="I137" s="84"/>
      <c r="J137" s="84"/>
      <c r="K137" s="84"/>
      <c r="L137" s="338"/>
      <c r="M137" s="255" t="str">
        <f t="shared" si="7"/>
        <v/>
      </c>
      <c r="N137" s="179" t="str">
        <f t="shared" si="8"/>
        <v/>
      </c>
      <c r="O137" s="327" t="str">
        <f>IF(OR($K$116="",$K$118="",L137="",$A$120="",$K$121=""),"",N137*VLOOKUP($K$121,Data!$L$32:$M$40,2,FALSE))</f>
        <v/>
      </c>
      <c r="P137" s="180" t="str">
        <f t="shared" si="9"/>
        <v/>
      </c>
      <c r="Q137" s="58" t="str">
        <f t="shared" si="10"/>
        <v/>
      </c>
      <c r="R137" s="219"/>
      <c r="S137" s="58">
        <v>9</v>
      </c>
      <c r="T137" s="417"/>
      <c r="U137" s="496"/>
      <c r="V137" s="418"/>
      <c r="W137" s="84"/>
      <c r="X137" s="84"/>
      <c r="Y137" s="84"/>
      <c r="Z137" s="84"/>
      <c r="AA137" s="84"/>
      <c r="AB137" s="84"/>
      <c r="AC137" s="84"/>
      <c r="AD137" s="84"/>
      <c r="AE137" s="255" t="str">
        <f t="shared" si="4"/>
        <v/>
      </c>
      <c r="AF137" s="255" t="str">
        <f t="shared" si="5"/>
        <v/>
      </c>
      <c r="AG137" s="327" t="str">
        <f>IF(OR($K$116="",$K$118="",AD137="",$A$120="",$K$121=""),"",AF137*VLOOKUP($K$121,Data!$L$32:$M$40,2,FALSE))</f>
        <v/>
      </c>
      <c r="AH137" s="180" t="str">
        <f t="shared" si="6"/>
        <v/>
      </c>
      <c r="AI137" s="58" t="str">
        <f t="shared" si="11"/>
        <v/>
      </c>
    </row>
    <row r="138" spans="1:35" x14ac:dyDescent="0.25">
      <c r="A138" s="58">
        <v>10</v>
      </c>
      <c r="B138" s="417"/>
      <c r="C138" s="496"/>
      <c r="D138" s="418"/>
      <c r="E138" s="84"/>
      <c r="F138" s="84"/>
      <c r="G138" s="84"/>
      <c r="H138" s="84"/>
      <c r="I138" s="84"/>
      <c r="J138" s="84"/>
      <c r="K138" s="84"/>
      <c r="L138" s="338"/>
      <c r="M138" s="255" t="str">
        <f t="shared" si="7"/>
        <v/>
      </c>
      <c r="N138" s="179" t="str">
        <f t="shared" si="8"/>
        <v/>
      </c>
      <c r="O138" s="327" t="str">
        <f>IF(OR($K$116="",$K$118="",L138="",$A$120="",$K$121=""),"",N138*VLOOKUP($K$121,Data!$L$32:$M$40,2,FALSE))</f>
        <v/>
      </c>
      <c r="P138" s="180" t="str">
        <f t="shared" si="9"/>
        <v/>
      </c>
      <c r="Q138" s="58" t="str">
        <f t="shared" si="10"/>
        <v/>
      </c>
      <c r="R138" s="219"/>
      <c r="S138" s="58">
        <v>10</v>
      </c>
      <c r="T138" s="417"/>
      <c r="U138" s="496"/>
      <c r="V138" s="418"/>
      <c r="W138" s="84"/>
      <c r="X138" s="84"/>
      <c r="Y138" s="84"/>
      <c r="Z138" s="84"/>
      <c r="AA138" s="84"/>
      <c r="AB138" s="84"/>
      <c r="AC138" s="84"/>
      <c r="AD138" s="84"/>
      <c r="AE138" s="255" t="str">
        <f t="shared" si="4"/>
        <v/>
      </c>
      <c r="AF138" s="255" t="str">
        <f t="shared" si="5"/>
        <v/>
      </c>
      <c r="AG138" s="327" t="str">
        <f>IF(OR($K$116="",$K$118="",AD138="",$A$120="",$K$121=""),"",AF138*VLOOKUP($K$121,Data!$L$32:$M$40,2,FALSE))</f>
        <v/>
      </c>
      <c r="AH138" s="180" t="str">
        <f t="shared" si="6"/>
        <v/>
      </c>
      <c r="AI138" s="58" t="str">
        <f t="shared" si="11"/>
        <v/>
      </c>
    </row>
    <row r="139" spans="1:35" x14ac:dyDescent="0.25">
      <c r="A139" s="55"/>
      <c r="B139" s="181"/>
      <c r="C139" s="182"/>
      <c r="D139" s="183"/>
      <c r="E139" s="55"/>
      <c r="F139" s="55"/>
      <c r="G139" s="55"/>
      <c r="H139" s="55"/>
      <c r="I139" s="55"/>
      <c r="J139" s="55"/>
      <c r="K139" s="55"/>
      <c r="L139" s="55"/>
      <c r="M139" s="184" t="s">
        <v>359</v>
      </c>
      <c r="N139" s="185" t="s">
        <v>359</v>
      </c>
      <c r="O139" s="184" t="s">
        <v>359</v>
      </c>
      <c r="P139" s="186"/>
      <c r="Q139" s="55"/>
      <c r="R139" s="219"/>
      <c r="S139" s="55"/>
      <c r="T139" s="181"/>
      <c r="U139" s="182"/>
      <c r="V139" s="183"/>
      <c r="W139" s="55"/>
      <c r="X139" s="55"/>
      <c r="Y139" s="55"/>
      <c r="Z139" s="55"/>
      <c r="AA139" s="55"/>
      <c r="AB139" s="55"/>
      <c r="AC139" s="55"/>
      <c r="AD139" s="55" t="s">
        <v>359</v>
      </c>
      <c r="AE139" s="184" t="s">
        <v>359</v>
      </c>
      <c r="AF139" s="185" t="s">
        <v>359</v>
      </c>
      <c r="AG139" s="184" t="s">
        <v>359</v>
      </c>
      <c r="AH139" s="186"/>
      <c r="AI139" s="55"/>
    </row>
    <row r="140" spans="1:35" x14ac:dyDescent="0.25">
      <c r="A140" s="56" t="s">
        <v>42</v>
      </c>
      <c r="B140" s="175" t="s">
        <v>500</v>
      </c>
      <c r="C140" s="47"/>
      <c r="D140" s="176"/>
      <c r="E140" s="56" t="s">
        <v>107</v>
      </c>
      <c r="F140" s="164" t="s">
        <v>248</v>
      </c>
      <c r="G140" s="56" t="s">
        <v>584</v>
      </c>
      <c r="H140" s="56" t="s">
        <v>290</v>
      </c>
      <c r="I140" s="56" t="s">
        <v>53</v>
      </c>
      <c r="J140" s="56" t="s">
        <v>44</v>
      </c>
      <c r="K140" s="164" t="s">
        <v>45</v>
      </c>
      <c r="L140" s="56" t="s">
        <v>291</v>
      </c>
      <c r="M140" s="56" t="s">
        <v>291</v>
      </c>
      <c r="N140" s="56" t="s">
        <v>291</v>
      </c>
      <c r="O140" s="164" t="s">
        <v>291</v>
      </c>
      <c r="P140" s="56" t="s">
        <v>252</v>
      </c>
      <c r="Q140" s="56" t="s">
        <v>61</v>
      </c>
      <c r="R140" s="219"/>
      <c r="S140" s="56" t="s">
        <v>42</v>
      </c>
      <c r="T140" s="175" t="s">
        <v>500</v>
      </c>
      <c r="U140" s="47"/>
      <c r="V140" s="176"/>
      <c r="W140" s="56" t="s">
        <v>107</v>
      </c>
      <c r="X140" s="56" t="s">
        <v>248</v>
      </c>
      <c r="Y140" s="56" t="s">
        <v>584</v>
      </c>
      <c r="Z140" s="56" t="s">
        <v>290</v>
      </c>
      <c r="AA140" s="56" t="s">
        <v>53</v>
      </c>
      <c r="AB140" s="56" t="s">
        <v>44</v>
      </c>
      <c r="AC140" s="56" t="s">
        <v>45</v>
      </c>
      <c r="AD140" s="56" t="s">
        <v>291</v>
      </c>
      <c r="AE140" s="56" t="s">
        <v>291</v>
      </c>
      <c r="AF140" s="56" t="s">
        <v>291</v>
      </c>
      <c r="AG140" s="164" t="s">
        <v>291</v>
      </c>
      <c r="AH140" s="56" t="s">
        <v>252</v>
      </c>
      <c r="AI140" s="56" t="s">
        <v>61</v>
      </c>
    </row>
    <row r="141" spans="1:35" x14ac:dyDescent="0.25">
      <c r="A141" s="56"/>
      <c r="B141" s="175" t="s">
        <v>43</v>
      </c>
      <c r="C141" s="47"/>
      <c r="D141" s="176"/>
      <c r="E141" s="56" t="s">
        <v>108</v>
      </c>
      <c r="F141" s="164" t="s">
        <v>249</v>
      </c>
      <c r="G141" s="56" t="s">
        <v>585</v>
      </c>
      <c r="H141" s="56" t="s">
        <v>289</v>
      </c>
      <c r="I141" s="164" t="str">
        <f>IF($A$122="","",IF($A$122="rektangulær","kant/diagonal","diameter"))</f>
        <v/>
      </c>
      <c r="J141" s="56"/>
      <c r="K141" s="56"/>
      <c r="L141" s="164" t="str">
        <f>IF($K$121="","",$K$121)</f>
        <v/>
      </c>
      <c r="M141" s="164" t="str">
        <f>IF($K$121="","",$K$121)</f>
        <v/>
      </c>
      <c r="N141" s="164" t="str">
        <f>IF($K$121="","",$K$121)</f>
        <v/>
      </c>
      <c r="O141" s="164" t="s">
        <v>288</v>
      </c>
      <c r="P141" s="56"/>
      <c r="Q141" s="56"/>
      <c r="R141" s="219"/>
      <c r="S141" s="56"/>
      <c r="T141" s="175" t="s">
        <v>43</v>
      </c>
      <c r="U141" s="47"/>
      <c r="V141" s="176"/>
      <c r="W141" s="56" t="s">
        <v>108</v>
      </c>
      <c r="X141" s="56" t="s">
        <v>249</v>
      </c>
      <c r="Y141" s="56" t="s">
        <v>585</v>
      </c>
      <c r="Z141" s="56" t="s">
        <v>289</v>
      </c>
      <c r="AA141" s="164" t="str">
        <f>IF($A$122="","",IF($A$122="rektangulær","kant/diagonal","diameter"))</f>
        <v/>
      </c>
      <c r="AB141" s="56"/>
      <c r="AC141" s="56"/>
      <c r="AD141" s="164" t="str">
        <f>IF($K$121="","",$K$121)</f>
        <v/>
      </c>
      <c r="AE141" s="164" t="str">
        <f>IF($K$121="","",$K$121)</f>
        <v/>
      </c>
      <c r="AF141" s="164" t="s">
        <v>399</v>
      </c>
      <c r="AG141" s="164" t="s">
        <v>288</v>
      </c>
      <c r="AH141" s="56"/>
      <c r="AI141" s="56"/>
    </row>
    <row r="142" spans="1:35" x14ac:dyDescent="0.25">
      <c r="A142" s="57"/>
      <c r="B142" s="177"/>
      <c r="C142" s="54"/>
      <c r="D142" s="178"/>
      <c r="E142" s="57"/>
      <c r="F142" s="57"/>
      <c r="G142" s="57"/>
      <c r="H142" s="57"/>
      <c r="I142" s="57" t="s">
        <v>54</v>
      </c>
      <c r="J142" s="57"/>
      <c r="K142" s="57"/>
      <c r="L142" s="57" t="s">
        <v>59</v>
      </c>
      <c r="M142" s="57" t="s">
        <v>247</v>
      </c>
      <c r="N142" s="57" t="s">
        <v>58</v>
      </c>
      <c r="O142" s="187" t="s">
        <v>58</v>
      </c>
      <c r="P142" s="165" t="s">
        <v>254</v>
      </c>
      <c r="Q142" s="165" t="s">
        <v>123</v>
      </c>
      <c r="R142" s="219"/>
      <c r="S142" s="57"/>
      <c r="T142" s="177"/>
      <c r="U142" s="54"/>
      <c r="V142" s="178"/>
      <c r="W142" s="57"/>
      <c r="X142" s="57"/>
      <c r="Y142" s="57"/>
      <c r="Z142" s="57"/>
      <c r="AA142" s="57" t="s">
        <v>54</v>
      </c>
      <c r="AB142" s="57"/>
      <c r="AC142" s="57"/>
      <c r="AD142" s="57" t="s">
        <v>59</v>
      </c>
      <c r="AE142" s="57" t="s">
        <v>247</v>
      </c>
      <c r="AF142" s="57" t="s">
        <v>58</v>
      </c>
      <c r="AG142" s="187" t="s">
        <v>58</v>
      </c>
      <c r="AH142" s="165" t="s">
        <v>254</v>
      </c>
      <c r="AI142" s="165" t="s">
        <v>123</v>
      </c>
    </row>
    <row r="143" spans="1:35" x14ac:dyDescent="0.25">
      <c r="A143" s="58">
        <v>1</v>
      </c>
      <c r="B143" s="417"/>
      <c r="C143" s="496"/>
      <c r="D143" s="418"/>
      <c r="E143" s="84"/>
      <c r="F143" s="84"/>
      <c r="G143" s="84"/>
      <c r="H143" s="84"/>
      <c r="I143" s="84"/>
      <c r="J143" s="84"/>
      <c r="K143" s="84"/>
      <c r="L143" s="156"/>
      <c r="M143" s="255" t="str">
        <f>IF(OR(L143="",$A$120=""),"",IF($A$120="ionkammer",L143,L143*1.4))</f>
        <v/>
      </c>
      <c r="N143" s="179" t="str">
        <f>IF(OR($K$116="",$K$118="",L143="",$A$120=""),"",M143*($K$116-$K$118)^2/($K$116-$K$117)^2)</f>
        <v/>
      </c>
      <c r="O143" s="327" t="str">
        <f>IF(OR($K$116="",$K$118="",L143="",$A$120="",$K$121=""),"",N143*VLOOKUP($K$121,Data!$L$32:$M$40,2,FALSE))</f>
        <v/>
      </c>
      <c r="P143" s="188" t="str">
        <f>IF(OR(F143="",$K$118="",L143="",$A$120=""),"",IF(F143="Barium us",1,IF(F143="Angio/DSA",2,IF(F143="Hjerte",0.2,2))))</f>
        <v/>
      </c>
      <c r="Q143" s="58" t="str">
        <f>IF(OR($K$116="",$K$118="",L143="",$K$121=""),"",IF(O143&gt;P143,"Ikke OK","OK"))</f>
        <v/>
      </c>
      <c r="R143" s="256"/>
      <c r="S143" s="58">
        <v>1</v>
      </c>
      <c r="T143" s="417"/>
      <c r="U143" s="496"/>
      <c r="V143" s="418"/>
      <c r="W143" s="84"/>
      <c r="X143" s="84"/>
      <c r="Y143" s="84"/>
      <c r="Z143" s="84"/>
      <c r="AA143" s="84"/>
      <c r="AB143" s="84"/>
      <c r="AC143" s="84"/>
      <c r="AD143" s="156"/>
      <c r="AE143" s="255" t="str">
        <f t="shared" ref="AE143:AE152" si="12">IF(OR(AD143="",$A$120=""),"",IF($A$120="ionkammer",AD143,AD143*1.4))</f>
        <v/>
      </c>
      <c r="AF143" s="255" t="str">
        <f t="shared" ref="AF143:AF152" si="13">IF(OR($K$116="",$K$118="",AD143="",$A$120=""),"",AE143*($K$116-$K$118)^2/($K$116-$K$117)^2)</f>
        <v/>
      </c>
      <c r="AG143" s="327" t="str">
        <f>IF(OR($K$116="",$K$118="",AD143="",$A$120="",$K$121=""),"",AF143*VLOOKUP($K$121,Data!$L$32:$M$40,2,FALSE))</f>
        <v/>
      </c>
      <c r="AH143" s="188" t="str">
        <f t="shared" ref="AH143:AH152" si="14">IF(OR(X143="",$K$118="",AD143="",$A$120=""),"",IF(X143="Barium us",1,IF(X143="Angio/DSA",2,IF(X143="Hjerte",0.2,2))))</f>
        <v/>
      </c>
      <c r="AI143" s="58" t="str">
        <f>IF(OR($K$116="",$K$118="",AD143="",$K$121=""),"",IF(AG143&gt;AH143,"Ikke OK","OK"))</f>
        <v/>
      </c>
    </row>
    <row r="144" spans="1:35" x14ac:dyDescent="0.25">
      <c r="A144" s="58">
        <v>2</v>
      </c>
      <c r="B144" s="417"/>
      <c r="C144" s="496"/>
      <c r="D144" s="418"/>
      <c r="E144" s="84"/>
      <c r="F144" s="84"/>
      <c r="G144" s="84"/>
      <c r="H144" s="84"/>
      <c r="I144" s="84"/>
      <c r="J144" s="84"/>
      <c r="K144" s="84"/>
      <c r="L144" s="156"/>
      <c r="M144" s="255" t="str">
        <f t="shared" ref="M144:M152" si="15">IF(OR(L144="",$A$120=""),"",IF($A$120="ionkammer",L144,L144*1.4))</f>
        <v/>
      </c>
      <c r="N144" s="179" t="str">
        <f t="shared" ref="N144:N152" si="16">IF(OR($K$116="",$K$118="",L144="",$A$120=""),"",M144*($K$116-$K$118)^2/($K$116-$K$117)^2)</f>
        <v/>
      </c>
      <c r="O144" s="327" t="str">
        <f>IF(OR($K$116="",$K$118="",L144="",$A$120="",$K$121=""),"",N144*VLOOKUP($K$121,Data!$L$32:$M$40,2,FALSE))</f>
        <v/>
      </c>
      <c r="P144" s="188" t="str">
        <f t="shared" ref="P144:P152" si="17">IF(OR(F144="",$K$118="",L144="",$A$120=""),"",IF(F144="Barium us",1,IF(F144="Angio/DSA",2,IF(F144="Hjerte",0.2,2))))</f>
        <v/>
      </c>
      <c r="Q144" s="58" t="str">
        <f t="shared" ref="Q144:Q152" si="18">IF(OR($K$116="",$K$118="",L144="",$K$121=""),"",IF(O144&gt;P144,"Ikke OK","OK"))</f>
        <v/>
      </c>
      <c r="R144" s="256"/>
      <c r="S144" s="58">
        <v>2</v>
      </c>
      <c r="T144" s="417"/>
      <c r="U144" s="496"/>
      <c r="V144" s="418"/>
      <c r="W144" s="84"/>
      <c r="X144" s="84"/>
      <c r="Y144" s="84"/>
      <c r="Z144" s="84"/>
      <c r="AA144" s="84"/>
      <c r="AB144" s="84"/>
      <c r="AC144" s="84"/>
      <c r="AD144" s="156"/>
      <c r="AE144" s="255" t="str">
        <f t="shared" si="12"/>
        <v/>
      </c>
      <c r="AF144" s="255" t="str">
        <f>IF(OR($K$116="",$K$118="",AD144="",$A$120=""),"",AE144*($K$116-$K$118)^2/($K$116-$K$117)^2)</f>
        <v/>
      </c>
      <c r="AG144" s="327" t="str">
        <f>IF(OR($K$116="",$K$118="",AD144="",$A$120="",$K$121=""),"",AF144*VLOOKUP($K$121,Data!$L$32:$M$40,2,FALSE))</f>
        <v/>
      </c>
      <c r="AH144" s="188" t="str">
        <f t="shared" si="14"/>
        <v/>
      </c>
      <c r="AI144" s="58" t="str">
        <f t="shared" ref="AI144:AI152" si="19">IF(OR($K$116="",$K$118="",AD144="",$K$121=""),"",IF(AG144&gt;AH144,"Ikke OK","OK"))</f>
        <v/>
      </c>
    </row>
    <row r="145" spans="1:35" x14ac:dyDescent="0.25">
      <c r="A145" s="58">
        <v>3</v>
      </c>
      <c r="B145" s="417"/>
      <c r="C145" s="496"/>
      <c r="D145" s="418"/>
      <c r="E145" s="84"/>
      <c r="F145" s="84"/>
      <c r="G145" s="84"/>
      <c r="H145" s="84"/>
      <c r="I145" s="84"/>
      <c r="J145" s="84"/>
      <c r="K145" s="84"/>
      <c r="L145" s="156"/>
      <c r="M145" s="255" t="str">
        <f t="shared" si="15"/>
        <v/>
      </c>
      <c r="N145" s="179" t="str">
        <f t="shared" si="16"/>
        <v/>
      </c>
      <c r="O145" s="327" t="str">
        <f>IF(OR($K$116="",$K$118="",L145="",$A$120="",$K$121=""),"",N145*VLOOKUP($K$121,Data!$L$32:$M$40,2,FALSE))</f>
        <v/>
      </c>
      <c r="P145" s="188" t="str">
        <f t="shared" si="17"/>
        <v/>
      </c>
      <c r="Q145" s="58" t="str">
        <f t="shared" si="18"/>
        <v/>
      </c>
      <c r="R145" s="256"/>
      <c r="S145" s="58">
        <v>3</v>
      </c>
      <c r="T145" s="417"/>
      <c r="U145" s="496"/>
      <c r="V145" s="418"/>
      <c r="W145" s="84"/>
      <c r="X145" s="84"/>
      <c r="Y145" s="84"/>
      <c r="Z145" s="84"/>
      <c r="AA145" s="84"/>
      <c r="AB145" s="84"/>
      <c r="AC145" s="84"/>
      <c r="AD145" s="156"/>
      <c r="AE145" s="255" t="str">
        <f t="shared" si="12"/>
        <v/>
      </c>
      <c r="AF145" s="255" t="str">
        <f t="shared" si="13"/>
        <v/>
      </c>
      <c r="AG145" s="327" t="str">
        <f>IF(OR($K$116="",$K$118="",AD145="",$A$120="",$K$121=""),"",AF145*VLOOKUP($K$121,Data!$L$32:$M$40,2,FALSE))</f>
        <v/>
      </c>
      <c r="AH145" s="188" t="str">
        <f t="shared" si="14"/>
        <v/>
      </c>
      <c r="AI145" s="58" t="str">
        <f t="shared" si="19"/>
        <v/>
      </c>
    </row>
    <row r="146" spans="1:35" x14ac:dyDescent="0.25">
      <c r="A146" s="58">
        <v>4</v>
      </c>
      <c r="B146" s="417"/>
      <c r="C146" s="496"/>
      <c r="D146" s="418"/>
      <c r="E146" s="84"/>
      <c r="F146" s="84"/>
      <c r="G146" s="84"/>
      <c r="H146" s="84"/>
      <c r="I146" s="84"/>
      <c r="J146" s="84"/>
      <c r="K146" s="84"/>
      <c r="L146" s="156"/>
      <c r="M146" s="255" t="str">
        <f t="shared" si="15"/>
        <v/>
      </c>
      <c r="N146" s="179" t="str">
        <f t="shared" si="16"/>
        <v/>
      </c>
      <c r="O146" s="327" t="str">
        <f>IF(OR($K$116="",$K$118="",L146="",$A$120="",$K$121=""),"",N146*VLOOKUP($K$121,Data!$L$32:$M$40,2,FALSE))</f>
        <v/>
      </c>
      <c r="P146" s="188" t="str">
        <f t="shared" si="17"/>
        <v/>
      </c>
      <c r="Q146" s="58" t="str">
        <f t="shared" si="18"/>
        <v/>
      </c>
      <c r="R146" s="256"/>
      <c r="S146" s="58">
        <v>4</v>
      </c>
      <c r="T146" s="417" t="s">
        <v>821</v>
      </c>
      <c r="U146" s="496"/>
      <c r="V146" s="418"/>
      <c r="W146" s="84"/>
      <c r="X146" s="84"/>
      <c r="Y146" s="84"/>
      <c r="Z146" s="84"/>
      <c r="AA146" s="84"/>
      <c r="AB146" s="84"/>
      <c r="AC146" s="84"/>
      <c r="AD146" s="156"/>
      <c r="AE146" s="255" t="str">
        <f t="shared" si="12"/>
        <v/>
      </c>
      <c r="AF146" s="255" t="str">
        <f t="shared" si="13"/>
        <v/>
      </c>
      <c r="AG146" s="327" t="str">
        <f>IF(OR($K$116="",$K$118="",AD146="",$A$120="",$K$121=""),"",AF146*VLOOKUP($K$121,Data!$L$32:$M$40,2,FALSE))</f>
        <v/>
      </c>
      <c r="AH146" s="188" t="str">
        <f t="shared" si="14"/>
        <v/>
      </c>
      <c r="AI146" s="58" t="str">
        <f t="shared" si="19"/>
        <v/>
      </c>
    </row>
    <row r="147" spans="1:35" x14ac:dyDescent="0.25">
      <c r="A147" s="58">
        <v>5</v>
      </c>
      <c r="B147" s="417"/>
      <c r="C147" s="496"/>
      <c r="D147" s="418"/>
      <c r="E147" s="84"/>
      <c r="F147" s="84"/>
      <c r="G147" s="84"/>
      <c r="H147" s="84"/>
      <c r="I147" s="84"/>
      <c r="J147" s="84"/>
      <c r="K147" s="84"/>
      <c r="L147" s="156"/>
      <c r="M147" s="255" t="str">
        <f t="shared" si="15"/>
        <v/>
      </c>
      <c r="N147" s="179" t="str">
        <f t="shared" si="16"/>
        <v/>
      </c>
      <c r="O147" s="327" t="str">
        <f>IF(OR($K$116="",$K$118="",L147="",$A$120="",$K$121=""),"",N147*VLOOKUP($K$121,Data!$L$32:$M$40,2,FALSE))</f>
        <v/>
      </c>
      <c r="P147" s="188" t="str">
        <f t="shared" si="17"/>
        <v/>
      </c>
      <c r="Q147" s="58" t="str">
        <f t="shared" si="18"/>
        <v/>
      </c>
      <c r="R147" s="256"/>
      <c r="S147" s="58">
        <v>5</v>
      </c>
      <c r="T147" s="417"/>
      <c r="U147" s="496"/>
      <c r="V147" s="418"/>
      <c r="W147" s="84"/>
      <c r="X147" s="84"/>
      <c r="Y147" s="84"/>
      <c r="Z147" s="84"/>
      <c r="AA147" s="84"/>
      <c r="AB147" s="84"/>
      <c r="AC147" s="84"/>
      <c r="AD147" s="156"/>
      <c r="AE147" s="255" t="str">
        <f t="shared" si="12"/>
        <v/>
      </c>
      <c r="AF147" s="255" t="str">
        <f t="shared" si="13"/>
        <v/>
      </c>
      <c r="AG147" s="327" t="str">
        <f>IF(OR($K$116="",$K$118="",AD147="",$A$120="",$K$121=""),"",AF147*VLOOKUP($K$121,Data!$L$32:$M$40,2,FALSE))</f>
        <v/>
      </c>
      <c r="AH147" s="188" t="str">
        <f t="shared" si="14"/>
        <v/>
      </c>
      <c r="AI147" s="58" t="str">
        <f t="shared" si="19"/>
        <v/>
      </c>
    </row>
    <row r="148" spans="1:35" x14ac:dyDescent="0.25">
      <c r="A148" s="58">
        <v>6</v>
      </c>
      <c r="B148" s="417"/>
      <c r="C148" s="496"/>
      <c r="D148" s="418"/>
      <c r="E148" s="84"/>
      <c r="F148" s="84"/>
      <c r="G148" s="84"/>
      <c r="H148" s="84"/>
      <c r="I148" s="84"/>
      <c r="J148" s="84"/>
      <c r="K148" s="84"/>
      <c r="L148" s="156"/>
      <c r="M148" s="255" t="str">
        <f t="shared" si="15"/>
        <v/>
      </c>
      <c r="N148" s="179" t="str">
        <f t="shared" si="16"/>
        <v/>
      </c>
      <c r="O148" s="327" t="str">
        <f>IF(OR($K$116="",$K$118="",L148="",$A$120="",$K$121=""),"",N148*VLOOKUP($K$121,Data!$L$32:$M$40,2,FALSE))</f>
        <v/>
      </c>
      <c r="P148" s="188" t="str">
        <f t="shared" si="17"/>
        <v/>
      </c>
      <c r="Q148" s="58" t="str">
        <f t="shared" si="18"/>
        <v/>
      </c>
      <c r="R148" s="256"/>
      <c r="S148" s="58">
        <v>6</v>
      </c>
      <c r="T148" s="417"/>
      <c r="U148" s="496"/>
      <c r="V148" s="418"/>
      <c r="W148" s="84"/>
      <c r="X148" s="84"/>
      <c r="Y148" s="84"/>
      <c r="Z148" s="84"/>
      <c r="AA148" s="84"/>
      <c r="AB148" s="84"/>
      <c r="AC148" s="84"/>
      <c r="AD148" s="156"/>
      <c r="AE148" s="255" t="str">
        <f t="shared" si="12"/>
        <v/>
      </c>
      <c r="AF148" s="255" t="str">
        <f t="shared" si="13"/>
        <v/>
      </c>
      <c r="AG148" s="327" t="str">
        <f>IF(OR($K$116="",$K$118="",AD148="",$A$120="",$K$121=""),"",AF148*VLOOKUP($K$121,Data!$L$32:$M$40,2,FALSE))</f>
        <v/>
      </c>
      <c r="AH148" s="188" t="str">
        <f t="shared" si="14"/>
        <v/>
      </c>
      <c r="AI148" s="58" t="str">
        <f t="shared" si="19"/>
        <v/>
      </c>
    </row>
    <row r="149" spans="1:35" x14ac:dyDescent="0.25">
      <c r="A149" s="58">
        <v>7</v>
      </c>
      <c r="B149" s="417"/>
      <c r="C149" s="496"/>
      <c r="D149" s="418"/>
      <c r="E149" s="84"/>
      <c r="F149" s="84"/>
      <c r="G149" s="84"/>
      <c r="H149" s="84"/>
      <c r="I149" s="84"/>
      <c r="J149" s="84"/>
      <c r="K149" s="84"/>
      <c r="L149" s="156"/>
      <c r="M149" s="255" t="str">
        <f t="shared" si="15"/>
        <v/>
      </c>
      <c r="N149" s="179" t="str">
        <f t="shared" si="16"/>
        <v/>
      </c>
      <c r="O149" s="327" t="str">
        <f>IF(OR($K$116="",$K$118="",L149="",$A$120="",$K$121=""),"",N149*VLOOKUP($K$121,Data!$L$32:$M$40,2,FALSE))</f>
        <v/>
      </c>
      <c r="P149" s="188" t="str">
        <f t="shared" si="17"/>
        <v/>
      </c>
      <c r="Q149" s="58" t="str">
        <f t="shared" si="18"/>
        <v/>
      </c>
      <c r="R149" s="219"/>
      <c r="S149" s="58">
        <v>7</v>
      </c>
      <c r="T149" s="417"/>
      <c r="U149" s="496"/>
      <c r="V149" s="418"/>
      <c r="W149" s="84"/>
      <c r="X149" s="84"/>
      <c r="Y149" s="84"/>
      <c r="Z149" s="84"/>
      <c r="AA149" s="84"/>
      <c r="AB149" s="84"/>
      <c r="AC149" s="84"/>
      <c r="AD149" s="156"/>
      <c r="AE149" s="255" t="str">
        <f t="shared" si="12"/>
        <v/>
      </c>
      <c r="AF149" s="255" t="str">
        <f t="shared" si="13"/>
        <v/>
      </c>
      <c r="AG149" s="327" t="str">
        <f>IF(OR($K$116="",$K$118="",AD149="",$A$120="",$K$121=""),"",AF149*VLOOKUP($K$121,Data!$L$32:$M$40,2,FALSE))</f>
        <v/>
      </c>
      <c r="AH149" s="188" t="str">
        <f t="shared" si="14"/>
        <v/>
      </c>
      <c r="AI149" s="58" t="str">
        <f t="shared" si="19"/>
        <v/>
      </c>
    </row>
    <row r="150" spans="1:35" x14ac:dyDescent="0.25">
      <c r="A150" s="58">
        <v>8</v>
      </c>
      <c r="B150" s="417"/>
      <c r="C150" s="496"/>
      <c r="D150" s="418"/>
      <c r="E150" s="84"/>
      <c r="F150" s="84"/>
      <c r="G150" s="84"/>
      <c r="H150" s="84"/>
      <c r="I150" s="84"/>
      <c r="J150" s="84"/>
      <c r="K150" s="84"/>
      <c r="L150" s="156"/>
      <c r="M150" s="255" t="str">
        <f t="shared" si="15"/>
        <v/>
      </c>
      <c r="N150" s="179" t="str">
        <f t="shared" si="16"/>
        <v/>
      </c>
      <c r="O150" s="327" t="str">
        <f>IF(OR($K$116="",$K$118="",L150="",$A$120="",$K$121=""),"",N150*VLOOKUP($K$121,Data!$L$32:$M$40,2,FALSE))</f>
        <v/>
      </c>
      <c r="P150" s="188" t="str">
        <f t="shared" si="17"/>
        <v/>
      </c>
      <c r="Q150" s="58" t="str">
        <f t="shared" si="18"/>
        <v/>
      </c>
      <c r="R150" s="219"/>
      <c r="S150" s="58">
        <v>8</v>
      </c>
      <c r="T150" s="417"/>
      <c r="U150" s="496"/>
      <c r="V150" s="418"/>
      <c r="W150" s="84"/>
      <c r="X150" s="84"/>
      <c r="Y150" s="84"/>
      <c r="Z150" s="84"/>
      <c r="AA150" s="84"/>
      <c r="AB150" s="84"/>
      <c r="AC150" s="84"/>
      <c r="AD150" s="156"/>
      <c r="AE150" s="255" t="str">
        <f t="shared" si="12"/>
        <v/>
      </c>
      <c r="AF150" s="255" t="str">
        <f t="shared" si="13"/>
        <v/>
      </c>
      <c r="AG150" s="327" t="str">
        <f>IF(OR($K$116="",$K$118="",AD150="",$A$120="",$K$121=""),"",AF150*VLOOKUP($K$121,Data!$L$32:$M$40,2,FALSE))</f>
        <v/>
      </c>
      <c r="AH150" s="188" t="str">
        <f t="shared" si="14"/>
        <v/>
      </c>
      <c r="AI150" s="58" t="str">
        <f t="shared" si="19"/>
        <v/>
      </c>
    </row>
    <row r="151" spans="1:35" x14ac:dyDescent="0.25">
      <c r="A151" s="58">
        <v>9</v>
      </c>
      <c r="B151" s="417"/>
      <c r="C151" s="496"/>
      <c r="D151" s="418"/>
      <c r="E151" s="84"/>
      <c r="F151" s="84"/>
      <c r="G151" s="84"/>
      <c r="H151" s="84"/>
      <c r="I151" s="84"/>
      <c r="J151" s="84"/>
      <c r="K151" s="84"/>
      <c r="L151" s="156"/>
      <c r="M151" s="255" t="str">
        <f t="shared" si="15"/>
        <v/>
      </c>
      <c r="N151" s="179" t="str">
        <f t="shared" si="16"/>
        <v/>
      </c>
      <c r="O151" s="327" t="str">
        <f>IF(OR($K$116="",$K$118="",L151="",$A$120="",$K$121=""),"",N151*VLOOKUP($K$121,Data!$L$32:$M$40,2,FALSE))</f>
        <v/>
      </c>
      <c r="P151" s="188" t="str">
        <f t="shared" si="17"/>
        <v/>
      </c>
      <c r="Q151" s="58" t="str">
        <f t="shared" si="18"/>
        <v/>
      </c>
      <c r="R151" s="219"/>
      <c r="S151" s="58">
        <v>9</v>
      </c>
      <c r="T151" s="417"/>
      <c r="U151" s="496"/>
      <c r="V151" s="418"/>
      <c r="W151" s="84"/>
      <c r="X151" s="84"/>
      <c r="Y151" s="84"/>
      <c r="Z151" s="84"/>
      <c r="AA151" s="84"/>
      <c r="AB151" s="84"/>
      <c r="AC151" s="84"/>
      <c r="AD151" s="156"/>
      <c r="AE151" s="255" t="str">
        <f t="shared" si="12"/>
        <v/>
      </c>
      <c r="AF151" s="255" t="str">
        <f t="shared" si="13"/>
        <v/>
      </c>
      <c r="AG151" s="327" t="str">
        <f>IF(OR($K$116="",$K$118="",AD151="",$A$120="",$K$121=""),"",AF151*VLOOKUP($K$121,Data!$L$32:$M$40,2,FALSE))</f>
        <v/>
      </c>
      <c r="AH151" s="188" t="str">
        <f t="shared" si="14"/>
        <v/>
      </c>
      <c r="AI151" s="58" t="str">
        <f t="shared" si="19"/>
        <v/>
      </c>
    </row>
    <row r="152" spans="1:35" x14ac:dyDescent="0.25">
      <c r="A152" s="58">
        <v>10</v>
      </c>
      <c r="B152" s="417"/>
      <c r="C152" s="496"/>
      <c r="D152" s="418"/>
      <c r="E152" s="84"/>
      <c r="F152" s="84"/>
      <c r="G152" s="84"/>
      <c r="H152" s="84"/>
      <c r="I152" s="84"/>
      <c r="J152" s="84"/>
      <c r="K152" s="84"/>
      <c r="L152" s="156"/>
      <c r="M152" s="255" t="str">
        <f t="shared" si="15"/>
        <v/>
      </c>
      <c r="N152" s="179" t="str">
        <f t="shared" si="16"/>
        <v/>
      </c>
      <c r="O152" s="327" t="str">
        <f>IF(OR($K$116="",$K$118="",L152="",$A$120="",$K$121=""),"",N152*VLOOKUP($K$121,Data!$L$32:$M$40,2,FALSE))</f>
        <v/>
      </c>
      <c r="P152" s="188" t="str">
        <f t="shared" si="17"/>
        <v/>
      </c>
      <c r="Q152" s="58" t="str">
        <f t="shared" si="18"/>
        <v/>
      </c>
      <c r="R152" s="219"/>
      <c r="S152" s="58">
        <v>10</v>
      </c>
      <c r="T152" s="417"/>
      <c r="U152" s="496"/>
      <c r="V152" s="418"/>
      <c r="W152" s="84"/>
      <c r="X152" s="84"/>
      <c r="Y152" s="84"/>
      <c r="Z152" s="84"/>
      <c r="AA152" s="84"/>
      <c r="AB152" s="84"/>
      <c r="AC152" s="84"/>
      <c r="AD152" s="156"/>
      <c r="AE152" s="255" t="str">
        <f t="shared" si="12"/>
        <v/>
      </c>
      <c r="AF152" s="255" t="str">
        <f t="shared" si="13"/>
        <v/>
      </c>
      <c r="AG152" s="327" t="str">
        <f>IF(OR($K$116="",$K$118="",AD152="",$A$120="",$K$121=""),"",AF152*VLOOKUP($K$121,Data!$L$32:$M$40,2,FALSE))</f>
        <v/>
      </c>
      <c r="AH152" s="188" t="str">
        <f t="shared" si="14"/>
        <v/>
      </c>
      <c r="AI152" s="58" t="str">
        <f t="shared" si="19"/>
        <v/>
      </c>
    </row>
    <row r="154" spans="1:35" x14ac:dyDescent="0.25">
      <c r="F154" s="213"/>
    </row>
    <row r="156" spans="1:35" ht="18.75" x14ac:dyDescent="0.3">
      <c r="A156" s="67" t="s">
        <v>501</v>
      </c>
      <c r="B156" s="66"/>
      <c r="C156" s="66"/>
      <c r="D156" s="66"/>
      <c r="E156" s="66"/>
      <c r="F156" s="66"/>
      <c r="G156" s="66"/>
      <c r="H156" s="66"/>
      <c r="I156" s="124" t="s">
        <v>433</v>
      </c>
      <c r="J156" s="66"/>
      <c r="K156" s="66"/>
      <c r="L156" s="66"/>
      <c r="M156" s="66"/>
      <c r="N156" s="66"/>
      <c r="O156" s="66"/>
      <c r="P156" s="66"/>
      <c r="Q156" s="66"/>
      <c r="R156" s="51"/>
      <c r="S156" s="51"/>
      <c r="T156" s="51"/>
    </row>
    <row r="157" spans="1:35" x14ac:dyDescent="0.25">
      <c r="R157" s="51"/>
      <c r="S157" s="51"/>
      <c r="T157" s="51"/>
    </row>
    <row r="158" spans="1:35" x14ac:dyDescent="0.25">
      <c r="A158" s="46" t="s">
        <v>151</v>
      </c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68" t="s">
        <v>90</v>
      </c>
      <c r="O158" s="47"/>
      <c r="P158" s="68"/>
      <c r="Q158" s="47"/>
      <c r="R158" s="51"/>
      <c r="S158" s="51"/>
      <c r="T158" s="51"/>
    </row>
    <row r="159" spans="1:35" x14ac:dyDescent="0.25">
      <c r="A159" s="48" t="s">
        <v>40</v>
      </c>
      <c r="B159" s="49" t="s">
        <v>66</v>
      </c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264"/>
      <c r="N159" s="453"/>
      <c r="O159" s="454"/>
      <c r="P159" s="454"/>
      <c r="Q159" s="455"/>
      <c r="R159" s="51"/>
      <c r="S159" s="51"/>
      <c r="T159" s="51"/>
    </row>
    <row r="160" spans="1:35" x14ac:dyDescent="0.25">
      <c r="A160" s="41" t="s">
        <v>646</v>
      </c>
      <c r="B160" s="51" t="s">
        <v>748</v>
      </c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82"/>
      <c r="N160" s="441"/>
      <c r="O160" s="442"/>
      <c r="P160" s="442"/>
      <c r="Q160" s="443"/>
      <c r="R160" s="51"/>
      <c r="S160" s="51"/>
      <c r="T160" s="51"/>
    </row>
    <row r="161" spans="1:20" x14ac:dyDescent="0.25">
      <c r="A161" s="50"/>
      <c r="B161" s="51" t="s">
        <v>749</v>
      </c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82"/>
      <c r="N161" s="441"/>
      <c r="O161" s="442"/>
      <c r="P161" s="442"/>
      <c r="Q161" s="443"/>
      <c r="R161" s="51"/>
      <c r="S161" s="51"/>
      <c r="T161" s="51"/>
    </row>
    <row r="162" spans="1:20" x14ac:dyDescent="0.25">
      <c r="A162" s="50" t="s">
        <v>639</v>
      </c>
      <c r="B162" s="51" t="s">
        <v>750</v>
      </c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82"/>
      <c r="N162" s="441"/>
      <c r="O162" s="442"/>
      <c r="P162" s="442"/>
      <c r="Q162" s="443"/>
      <c r="R162" s="51"/>
      <c r="S162" s="51"/>
      <c r="T162" s="51"/>
    </row>
    <row r="163" spans="1:20" x14ac:dyDescent="0.25">
      <c r="A163" s="50"/>
      <c r="B163" s="215" t="s">
        <v>554</v>
      </c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82"/>
      <c r="N163" s="441"/>
      <c r="O163" s="442"/>
      <c r="P163" s="442"/>
      <c r="Q163" s="443"/>
      <c r="R163" s="51"/>
      <c r="S163" s="51"/>
      <c r="T163" s="51"/>
    </row>
    <row r="164" spans="1:20" x14ac:dyDescent="0.25">
      <c r="A164" s="50"/>
      <c r="B164" s="51" t="s">
        <v>763</v>
      </c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82"/>
      <c r="N164" s="441"/>
      <c r="O164" s="442"/>
      <c r="P164" s="442"/>
      <c r="Q164" s="443"/>
      <c r="R164" s="51"/>
      <c r="S164" s="51"/>
      <c r="T164" s="51"/>
    </row>
    <row r="165" spans="1:20" x14ac:dyDescent="0.25">
      <c r="A165" s="50"/>
      <c r="B165" s="51" t="s">
        <v>751</v>
      </c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82"/>
      <c r="N165" s="441"/>
      <c r="O165" s="442"/>
      <c r="P165" s="442"/>
      <c r="Q165" s="443"/>
      <c r="R165" s="51"/>
      <c r="S165" s="51"/>
      <c r="T165" s="51"/>
    </row>
    <row r="166" spans="1:20" x14ac:dyDescent="0.25">
      <c r="A166" s="50"/>
      <c r="B166" s="51" t="s">
        <v>752</v>
      </c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82"/>
      <c r="N166" s="441"/>
      <c r="O166" s="442"/>
      <c r="P166" s="442"/>
      <c r="Q166" s="443"/>
      <c r="R166" s="51"/>
      <c r="S166" s="51"/>
      <c r="T166" s="51"/>
    </row>
    <row r="167" spans="1:20" x14ac:dyDescent="0.25">
      <c r="A167" s="50"/>
      <c r="B167" s="51" t="s">
        <v>753</v>
      </c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82"/>
      <c r="N167" s="441"/>
      <c r="O167" s="442"/>
      <c r="P167" s="442"/>
      <c r="Q167" s="443"/>
      <c r="R167" s="51"/>
      <c r="S167" s="51"/>
      <c r="T167" s="51"/>
    </row>
    <row r="168" spans="1:20" x14ac:dyDescent="0.25">
      <c r="A168" s="50"/>
      <c r="B168" s="51" t="s">
        <v>754</v>
      </c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82"/>
      <c r="N168" s="441"/>
      <c r="O168" s="442"/>
      <c r="P168" s="442"/>
      <c r="Q168" s="443"/>
      <c r="R168" s="51"/>
      <c r="S168" s="51"/>
      <c r="T168" s="51"/>
    </row>
    <row r="169" spans="1:20" x14ac:dyDescent="0.25">
      <c r="A169" s="50"/>
      <c r="B169" s="51" t="s">
        <v>755</v>
      </c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82"/>
      <c r="N169" s="441"/>
      <c r="O169" s="442"/>
      <c r="P169" s="442"/>
      <c r="Q169" s="443"/>
      <c r="R169" s="51"/>
      <c r="S169" s="51"/>
      <c r="T169" s="51"/>
    </row>
    <row r="170" spans="1:20" x14ac:dyDescent="0.25">
      <c r="A170" s="50"/>
      <c r="B170" s="215" t="s">
        <v>756</v>
      </c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82"/>
      <c r="N170" s="441"/>
      <c r="O170" s="442"/>
      <c r="P170" s="442"/>
      <c r="Q170" s="443"/>
      <c r="R170" s="51"/>
      <c r="S170" s="51"/>
      <c r="T170" s="51"/>
    </row>
    <row r="171" spans="1:20" x14ac:dyDescent="0.25">
      <c r="A171" s="50"/>
      <c r="B171" s="51" t="s">
        <v>757</v>
      </c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82"/>
      <c r="N171" s="441"/>
      <c r="O171" s="442"/>
      <c r="P171" s="442"/>
      <c r="Q171" s="443"/>
      <c r="R171" s="51"/>
      <c r="S171" s="51"/>
      <c r="T171" s="51"/>
    </row>
    <row r="172" spans="1:20" x14ac:dyDescent="0.25">
      <c r="A172" s="50"/>
      <c r="B172" s="51" t="s">
        <v>758</v>
      </c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82"/>
      <c r="N172" s="441"/>
      <c r="O172" s="442"/>
      <c r="P172" s="442"/>
      <c r="Q172" s="443"/>
      <c r="R172" s="51"/>
      <c r="S172" s="51"/>
      <c r="T172" s="51"/>
    </row>
    <row r="173" spans="1:20" x14ac:dyDescent="0.25">
      <c r="A173" s="50"/>
      <c r="B173" s="51" t="s">
        <v>765</v>
      </c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82"/>
      <c r="N173" s="441"/>
      <c r="O173" s="442"/>
      <c r="P173" s="442"/>
      <c r="Q173" s="443"/>
      <c r="R173" s="51"/>
      <c r="S173" s="51"/>
      <c r="T173" s="51"/>
    </row>
    <row r="174" spans="1:20" x14ac:dyDescent="0.25">
      <c r="A174" s="50"/>
      <c r="B174" s="51" t="s">
        <v>759</v>
      </c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82"/>
      <c r="N174" s="441"/>
      <c r="O174" s="442"/>
      <c r="P174" s="442"/>
      <c r="Q174" s="443"/>
      <c r="R174" s="51"/>
      <c r="S174" s="51"/>
      <c r="T174" s="51"/>
    </row>
    <row r="175" spans="1:20" x14ac:dyDescent="0.25">
      <c r="A175" s="50"/>
      <c r="B175" s="51" t="s">
        <v>760</v>
      </c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82"/>
      <c r="N175" s="441"/>
      <c r="O175" s="442"/>
      <c r="P175" s="442"/>
      <c r="Q175" s="443"/>
      <c r="R175" s="51"/>
      <c r="S175" s="51"/>
      <c r="T175" s="51"/>
    </row>
    <row r="176" spans="1:20" x14ac:dyDescent="0.25">
      <c r="A176" s="50"/>
      <c r="B176" s="51" t="s">
        <v>761</v>
      </c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82"/>
      <c r="N176" s="441"/>
      <c r="O176" s="442"/>
      <c r="P176" s="442"/>
      <c r="Q176" s="443"/>
      <c r="R176" s="51"/>
      <c r="S176" s="51"/>
      <c r="T176" s="51"/>
    </row>
    <row r="177" spans="1:21" x14ac:dyDescent="0.25">
      <c r="A177" s="50"/>
      <c r="B177" s="51" t="s">
        <v>762</v>
      </c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82"/>
      <c r="N177" s="441"/>
      <c r="O177" s="442"/>
      <c r="P177" s="442"/>
      <c r="Q177" s="443"/>
      <c r="R177" s="51"/>
      <c r="S177" s="51"/>
      <c r="T177" s="51"/>
    </row>
    <row r="178" spans="1:21" x14ac:dyDescent="0.25">
      <c r="A178" s="50"/>
      <c r="B178" s="51" t="s">
        <v>764</v>
      </c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82"/>
      <c r="N178" s="441"/>
      <c r="O178" s="442"/>
      <c r="P178" s="442"/>
      <c r="Q178" s="443"/>
      <c r="R178" s="51"/>
      <c r="S178" s="51"/>
      <c r="T178" s="51"/>
    </row>
    <row r="179" spans="1:21" x14ac:dyDescent="0.25">
      <c r="A179" s="50" t="s">
        <v>41</v>
      </c>
      <c r="B179" s="215" t="s">
        <v>767</v>
      </c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82"/>
      <c r="N179" s="441"/>
      <c r="O179" s="442"/>
      <c r="P179" s="442"/>
      <c r="Q179" s="443"/>
      <c r="R179" s="51"/>
      <c r="S179" s="51"/>
      <c r="T179" s="51"/>
    </row>
    <row r="180" spans="1:21" x14ac:dyDescent="0.25">
      <c r="A180" s="52"/>
      <c r="B180" s="72" t="s">
        <v>766</v>
      </c>
      <c r="C180" s="72"/>
      <c r="D180" s="72"/>
      <c r="E180" s="72"/>
      <c r="F180" s="72"/>
      <c r="G180" s="72"/>
      <c r="H180" s="72"/>
      <c r="I180" s="72"/>
      <c r="J180" s="72"/>
      <c r="K180" s="72"/>
      <c r="L180" s="72"/>
      <c r="M180" s="83"/>
      <c r="N180" s="444"/>
      <c r="O180" s="445"/>
      <c r="P180" s="445"/>
      <c r="Q180" s="446"/>
      <c r="R180" s="51"/>
      <c r="S180" s="51"/>
      <c r="T180" s="51"/>
    </row>
    <row r="181" spans="1:21" x14ac:dyDescent="0.25">
      <c r="A181" s="240" t="s">
        <v>659</v>
      </c>
      <c r="B181" s="216" t="s">
        <v>660</v>
      </c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373" t="s">
        <v>684</v>
      </c>
      <c r="N181" s="200"/>
      <c r="O181" s="382"/>
      <c r="P181" s="382"/>
      <c r="Q181" s="383"/>
      <c r="R181" s="51"/>
      <c r="S181" s="51"/>
      <c r="T181" s="51"/>
    </row>
    <row r="182" spans="1:21" x14ac:dyDescent="0.25">
      <c r="A182" s="242"/>
      <c r="B182" s="168" t="s">
        <v>661</v>
      </c>
      <c r="C182" s="72"/>
      <c r="D182" s="72"/>
      <c r="E182" s="72"/>
      <c r="F182" s="72"/>
      <c r="G182" s="72"/>
      <c r="H182" s="72"/>
      <c r="I182" s="72"/>
      <c r="J182" s="72"/>
      <c r="K182" s="72"/>
      <c r="L182" s="72"/>
      <c r="M182" s="374" t="s">
        <v>662</v>
      </c>
      <c r="N182" s="444"/>
      <c r="O182" s="445"/>
      <c r="P182" s="445"/>
      <c r="Q182" s="446"/>
      <c r="R182" s="51"/>
      <c r="S182" s="51"/>
      <c r="T182" s="51"/>
    </row>
    <row r="183" spans="1:21" x14ac:dyDescent="0.25">
      <c r="A183" s="17"/>
      <c r="B183" s="69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375"/>
      <c r="O183" s="375"/>
      <c r="P183" s="375"/>
      <c r="Q183" s="375"/>
      <c r="R183" s="51"/>
      <c r="S183" s="51"/>
      <c r="T183" s="51"/>
    </row>
    <row r="184" spans="1:21" x14ac:dyDescent="0.25">
      <c r="A184" s="17"/>
      <c r="B184" s="69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</row>
    <row r="185" spans="1:21" x14ac:dyDescent="0.25">
      <c r="A185" s="53" t="s">
        <v>152</v>
      </c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1"/>
      <c r="S185" s="51"/>
      <c r="T185" s="51"/>
    </row>
    <row r="186" spans="1:21" x14ac:dyDescent="0.25">
      <c r="R186" s="51"/>
      <c r="S186" s="51"/>
      <c r="T186" s="51"/>
    </row>
    <row r="187" spans="1:21" x14ac:dyDescent="0.25">
      <c r="A187" s="262" t="s">
        <v>506</v>
      </c>
      <c r="B187" s="262"/>
      <c r="C187" s="262"/>
      <c r="D187" s="262"/>
      <c r="E187" s="262"/>
      <c r="F187" s="262"/>
      <c r="G187" s="262"/>
      <c r="H187" s="262"/>
      <c r="I187" s="262"/>
      <c r="J187" s="262"/>
      <c r="K187" s="262"/>
      <c r="L187" s="262"/>
      <c r="M187" s="262"/>
      <c r="N187" s="262"/>
      <c r="O187" s="262"/>
      <c r="P187" s="263"/>
      <c r="Q187" s="263"/>
      <c r="R187" s="23"/>
      <c r="S187" s="23"/>
      <c r="T187" s="23"/>
    </row>
    <row r="188" spans="1:21" x14ac:dyDescent="0.25">
      <c r="R188" s="51"/>
      <c r="S188" s="51"/>
      <c r="T188" s="51"/>
    </row>
    <row r="189" spans="1:21" x14ac:dyDescent="0.25">
      <c r="A189" s="122" t="str">
        <f>IF(Oplysningsside!$B$15="",1,Oplysningsside!$B$15)</f>
        <v>Bi-plan</v>
      </c>
      <c r="B189" s="258" t="s">
        <v>445</v>
      </c>
      <c r="C189" s="216"/>
      <c r="D189" s="216"/>
      <c r="E189" s="216"/>
      <c r="F189" s="216"/>
      <c r="G189" s="216"/>
      <c r="H189" s="216"/>
      <c r="I189" s="216"/>
      <c r="J189" s="264"/>
      <c r="K189" s="102"/>
      <c r="L189" s="258" t="s">
        <v>682</v>
      </c>
      <c r="M189" s="216"/>
      <c r="N189" s="216"/>
      <c r="O189" s="216"/>
      <c r="P189" s="216"/>
      <c r="Q189" s="216"/>
      <c r="R189" s="264"/>
      <c r="S189" s="51"/>
      <c r="T189" s="51"/>
    </row>
    <row r="190" spans="1:21" x14ac:dyDescent="0.25">
      <c r="A190" s="106"/>
      <c r="B190" s="238" t="s">
        <v>118</v>
      </c>
      <c r="C190" s="215"/>
      <c r="D190" s="215"/>
      <c r="E190" s="215"/>
      <c r="F190" s="215"/>
      <c r="G190" s="215"/>
      <c r="H190" s="215"/>
      <c r="I190" s="215"/>
      <c r="J190" s="226"/>
      <c r="K190" s="221">
        <f>IF($A$189="","",IF($A$189="Mini C bue",5,30))</f>
        <v>30</v>
      </c>
      <c r="L190" s="51" t="s">
        <v>119</v>
      </c>
      <c r="M190" s="215"/>
      <c r="N190" s="215"/>
      <c r="O190" s="215"/>
      <c r="P190" s="215"/>
      <c r="Q190" s="51"/>
      <c r="R190" s="82"/>
      <c r="S190" s="51"/>
      <c r="T190" s="51"/>
      <c r="U190" s="51"/>
    </row>
    <row r="191" spans="1:21" x14ac:dyDescent="0.25">
      <c r="A191" s="106"/>
      <c r="B191" s="238" t="s">
        <v>427</v>
      </c>
      <c r="C191" s="215"/>
      <c r="D191" s="215"/>
      <c r="E191" s="215"/>
      <c r="F191" s="215"/>
      <c r="G191" s="215"/>
      <c r="H191" s="215"/>
      <c r="I191" s="215"/>
      <c r="J191" s="226"/>
      <c r="K191" s="106"/>
      <c r="L191" s="238" t="s">
        <v>565</v>
      </c>
      <c r="M191" s="215"/>
      <c r="N191" s="215"/>
      <c r="O191" s="215"/>
      <c r="P191" s="215"/>
      <c r="Q191" s="51"/>
      <c r="R191" s="82"/>
      <c r="S191" s="51"/>
      <c r="T191" s="51"/>
      <c r="U191" s="51"/>
    </row>
    <row r="192" spans="1:21" x14ac:dyDescent="0.25">
      <c r="A192" s="106"/>
      <c r="B192" s="238" t="s">
        <v>145</v>
      </c>
      <c r="C192" s="215"/>
      <c r="D192" s="215"/>
      <c r="E192" s="215"/>
      <c r="F192" s="215"/>
      <c r="G192" s="215"/>
      <c r="H192" s="215"/>
      <c r="I192" s="215"/>
      <c r="J192" s="226"/>
      <c r="K192" s="106"/>
      <c r="L192" s="244" t="s">
        <v>683</v>
      </c>
      <c r="M192" s="51"/>
      <c r="N192" s="51"/>
      <c r="O192" s="51"/>
      <c r="P192" s="51"/>
      <c r="Q192" s="51"/>
      <c r="R192" s="82"/>
      <c r="S192" s="51"/>
      <c r="T192" s="51"/>
      <c r="U192" s="51"/>
    </row>
    <row r="193" spans="1:37" x14ac:dyDescent="0.25">
      <c r="A193" s="106"/>
      <c r="B193" s="243" t="s">
        <v>197</v>
      </c>
      <c r="C193" s="215"/>
      <c r="D193" s="215"/>
      <c r="H193" s="215"/>
      <c r="I193" s="215"/>
      <c r="J193" s="226"/>
      <c r="K193" s="340" t="s">
        <v>562</v>
      </c>
      <c r="L193" s="23" t="s">
        <v>566</v>
      </c>
      <c r="O193" s="215"/>
      <c r="P193" s="215"/>
      <c r="Q193" s="51"/>
      <c r="R193" s="82"/>
      <c r="S193" s="51"/>
      <c r="T193" s="51"/>
      <c r="U193" s="51"/>
    </row>
    <row r="194" spans="1:37" x14ac:dyDescent="0.25">
      <c r="A194" s="106"/>
      <c r="B194" s="259" t="s">
        <v>384</v>
      </c>
      <c r="C194" s="215"/>
      <c r="D194" s="215"/>
      <c r="H194" s="215"/>
      <c r="I194" s="215"/>
      <c r="J194" s="226"/>
      <c r="K194" s="106"/>
      <c r="L194" s="244" t="s">
        <v>387</v>
      </c>
      <c r="M194" s="215"/>
      <c r="N194" s="215"/>
      <c r="O194" s="215"/>
      <c r="P194" s="215"/>
      <c r="Q194" s="51"/>
      <c r="R194" s="82"/>
      <c r="S194" s="51"/>
      <c r="T194" s="51"/>
      <c r="U194" s="51"/>
    </row>
    <row r="195" spans="1:37" x14ac:dyDescent="0.25">
      <c r="A195" s="106"/>
      <c r="B195" s="259" t="s">
        <v>434</v>
      </c>
      <c r="C195" s="215"/>
      <c r="D195" s="215"/>
      <c r="G195" s="213"/>
      <c r="H195" s="215"/>
      <c r="I195" s="215"/>
      <c r="J195" s="226"/>
      <c r="K195" s="106"/>
      <c r="L195" s="244" t="s">
        <v>395</v>
      </c>
      <c r="M195" s="215"/>
      <c r="N195" s="215"/>
      <c r="O195" s="215"/>
      <c r="P195" s="215"/>
      <c r="Q195" s="51"/>
      <c r="R195" s="82"/>
      <c r="S195" s="51"/>
      <c r="T195" s="51"/>
      <c r="U195" s="51"/>
    </row>
    <row r="196" spans="1:37" x14ac:dyDescent="0.25">
      <c r="A196" s="328"/>
      <c r="B196" s="259"/>
      <c r="C196" s="215"/>
      <c r="D196" s="215"/>
      <c r="H196" s="215"/>
      <c r="I196" s="215"/>
      <c r="J196" s="226"/>
      <c r="K196" s="340" t="s">
        <v>562</v>
      </c>
      <c r="L196" s="298" t="s">
        <v>564</v>
      </c>
      <c r="M196" s="215"/>
      <c r="N196" s="215"/>
      <c r="O196" s="215"/>
      <c r="P196" s="215"/>
      <c r="Q196" s="51"/>
      <c r="R196" s="82"/>
      <c r="S196" s="51"/>
      <c r="T196" s="51"/>
      <c r="U196" s="51"/>
    </row>
    <row r="197" spans="1:37" x14ac:dyDescent="0.25">
      <c r="A197" s="221"/>
      <c r="B197" s="259"/>
      <c r="C197" s="215"/>
      <c r="D197" s="215"/>
      <c r="H197" s="215"/>
      <c r="I197" s="215"/>
      <c r="J197" s="226"/>
      <c r="K197" s="106"/>
      <c r="L197" s="244" t="s">
        <v>454</v>
      </c>
      <c r="M197" s="215"/>
      <c r="N197" s="215"/>
      <c r="O197" s="215"/>
      <c r="P197" s="215"/>
      <c r="Q197" s="51"/>
      <c r="R197" s="82"/>
      <c r="S197" s="51"/>
      <c r="T197" s="51"/>
      <c r="U197" s="51"/>
    </row>
    <row r="198" spans="1:37" x14ac:dyDescent="0.25">
      <c r="A198" s="221"/>
      <c r="B198" s="259"/>
      <c r="C198" s="215"/>
      <c r="D198" s="215"/>
      <c r="H198" s="215"/>
      <c r="I198" s="215"/>
      <c r="J198" s="226"/>
      <c r="K198" s="106"/>
      <c r="L198" s="244" t="s">
        <v>567</v>
      </c>
      <c r="M198" s="215"/>
      <c r="N198" s="215"/>
      <c r="O198" s="215"/>
      <c r="P198" s="215"/>
      <c r="Q198" s="51"/>
      <c r="R198" s="82"/>
      <c r="S198" s="51"/>
      <c r="T198" s="51"/>
      <c r="U198" s="51"/>
    </row>
    <row r="199" spans="1:37" x14ac:dyDescent="0.25">
      <c r="A199" s="223"/>
      <c r="B199" s="265"/>
      <c r="C199" s="168"/>
      <c r="D199" s="168"/>
      <c r="E199" s="169"/>
      <c r="F199" s="266"/>
      <c r="G199" s="266"/>
      <c r="H199" s="168"/>
      <c r="I199" s="168"/>
      <c r="J199" s="232"/>
      <c r="K199" s="197"/>
      <c r="L199" s="168"/>
      <c r="M199" s="168"/>
      <c r="N199" s="168"/>
      <c r="O199" s="168"/>
      <c r="P199" s="168"/>
      <c r="Q199" s="72"/>
      <c r="R199" s="83"/>
      <c r="S199" s="51"/>
      <c r="T199" s="51"/>
      <c r="U199" s="51"/>
    </row>
    <row r="200" spans="1:37" x14ac:dyDescent="0.25">
      <c r="A200" s="223"/>
      <c r="B200" s="260" t="s">
        <v>457</v>
      </c>
      <c r="C200" s="168"/>
      <c r="D200" s="168"/>
      <c r="E200" s="168"/>
      <c r="F200" s="168"/>
      <c r="G200" s="168"/>
      <c r="H200" s="168"/>
      <c r="I200" s="168"/>
      <c r="J200" s="232"/>
      <c r="K200" s="197"/>
      <c r="L200" s="189" t="s">
        <v>507</v>
      </c>
      <c r="M200" s="297"/>
      <c r="N200" s="297"/>
      <c r="O200" s="297"/>
      <c r="P200" s="297"/>
      <c r="Q200" s="318"/>
      <c r="R200" s="302"/>
      <c r="S200" s="51"/>
      <c r="T200" s="13"/>
      <c r="U200" s="291" t="s">
        <v>458</v>
      </c>
      <c r="V200" s="297"/>
      <c r="W200" s="297"/>
      <c r="X200" s="297"/>
      <c r="Y200" s="319"/>
      <c r="Z200" s="297"/>
      <c r="AA200" s="297"/>
      <c r="AB200" s="297"/>
      <c r="AC200" s="297"/>
      <c r="AD200" s="13"/>
      <c r="AE200" s="189" t="s">
        <v>507</v>
      </c>
      <c r="AF200" s="297"/>
      <c r="AG200" s="297"/>
      <c r="AH200" s="297"/>
      <c r="AI200" s="297"/>
      <c r="AJ200" s="80"/>
      <c r="AK200" s="51"/>
    </row>
    <row r="201" spans="1:37" x14ac:dyDescent="0.25">
      <c r="A201" s="55"/>
      <c r="B201" s="181"/>
      <c r="C201" s="182"/>
      <c r="D201" s="183"/>
      <c r="E201" s="55"/>
      <c r="F201" s="55"/>
      <c r="G201" s="55"/>
      <c r="H201" s="55"/>
      <c r="I201" s="55"/>
      <c r="J201" s="55"/>
      <c r="K201" s="55"/>
      <c r="L201" s="55" t="s">
        <v>361</v>
      </c>
      <c r="M201" s="55" t="s">
        <v>361</v>
      </c>
      <c r="N201" s="55" t="s">
        <v>361</v>
      </c>
      <c r="O201" s="55"/>
      <c r="P201" s="55"/>
      <c r="Q201" s="267"/>
      <c r="R201" s="219"/>
      <c r="S201" s="219"/>
      <c r="T201" s="55"/>
      <c r="U201" s="181"/>
      <c r="V201" s="182"/>
      <c r="W201" s="183"/>
      <c r="X201" s="55"/>
      <c r="Y201" s="55"/>
      <c r="Z201" s="55"/>
      <c r="AA201" s="55"/>
      <c r="AB201" s="55"/>
      <c r="AC201" s="55"/>
      <c r="AD201" s="55"/>
      <c r="AE201" s="55" t="s">
        <v>361</v>
      </c>
      <c r="AF201" s="55" t="s">
        <v>361</v>
      </c>
      <c r="AG201" s="55" t="s">
        <v>361</v>
      </c>
      <c r="AH201" s="55"/>
      <c r="AI201" s="174"/>
      <c r="AJ201" s="267"/>
      <c r="AK201" s="219"/>
    </row>
    <row r="202" spans="1:37" x14ac:dyDescent="0.25">
      <c r="A202" s="56" t="s">
        <v>42</v>
      </c>
      <c r="B202" s="175" t="s">
        <v>56</v>
      </c>
      <c r="C202" s="47"/>
      <c r="D202" s="176"/>
      <c r="E202" s="56" t="s">
        <v>107</v>
      </c>
      <c r="F202" s="56" t="s">
        <v>401</v>
      </c>
      <c r="G202" s="56" t="s">
        <v>584</v>
      </c>
      <c r="H202" s="56" t="s">
        <v>46</v>
      </c>
      <c r="I202" s="56" t="s">
        <v>53</v>
      </c>
      <c r="J202" s="56" t="s">
        <v>44</v>
      </c>
      <c r="K202" s="56" t="s">
        <v>257</v>
      </c>
      <c r="L202" s="56" t="s">
        <v>55</v>
      </c>
      <c r="M202" s="56" t="s">
        <v>55</v>
      </c>
      <c r="N202" s="56" t="s">
        <v>55</v>
      </c>
      <c r="O202" s="56" t="s">
        <v>252</v>
      </c>
      <c r="P202" s="56" t="s">
        <v>61</v>
      </c>
      <c r="Q202" s="267"/>
      <c r="R202" s="219"/>
      <c r="S202" s="219"/>
      <c r="T202" s="56" t="s">
        <v>42</v>
      </c>
      <c r="U202" s="175" t="s">
        <v>56</v>
      </c>
      <c r="V202" s="47"/>
      <c r="W202" s="176"/>
      <c r="X202" s="56" t="s">
        <v>107</v>
      </c>
      <c r="Y202" s="56" t="s">
        <v>401</v>
      </c>
      <c r="Z202" s="56" t="s">
        <v>584</v>
      </c>
      <c r="AA202" s="56" t="s">
        <v>46</v>
      </c>
      <c r="AB202" s="56" t="s">
        <v>53</v>
      </c>
      <c r="AC202" s="56" t="s">
        <v>44</v>
      </c>
      <c r="AD202" s="56" t="s">
        <v>257</v>
      </c>
      <c r="AE202" s="56" t="s">
        <v>55</v>
      </c>
      <c r="AF202" s="56" t="s">
        <v>55</v>
      </c>
      <c r="AG202" s="56" t="s">
        <v>55</v>
      </c>
      <c r="AH202" s="56" t="s">
        <v>252</v>
      </c>
      <c r="AI202" s="190" t="s">
        <v>61</v>
      </c>
      <c r="AJ202" s="267"/>
      <c r="AK202" s="219"/>
    </row>
    <row r="203" spans="1:37" x14ac:dyDescent="0.25">
      <c r="A203" s="56"/>
      <c r="B203" s="175" t="s">
        <v>43</v>
      </c>
      <c r="C203" s="47"/>
      <c r="D203" s="176"/>
      <c r="E203" s="56" t="s">
        <v>108</v>
      </c>
      <c r="F203" s="56" t="s">
        <v>402</v>
      </c>
      <c r="G203" s="56" t="s">
        <v>585</v>
      </c>
      <c r="H203" s="56" t="s">
        <v>48</v>
      </c>
      <c r="I203" s="164" t="str">
        <f>IF($A$195="","",IF($A$195="rektangulær","kant/diagonal","diameter"))</f>
        <v/>
      </c>
      <c r="J203" s="56"/>
      <c r="K203" s="56" t="s">
        <v>45</v>
      </c>
      <c r="L203" s="56" t="s">
        <v>292</v>
      </c>
      <c r="M203" s="56" t="s">
        <v>292</v>
      </c>
      <c r="N203" s="56" t="s">
        <v>292</v>
      </c>
      <c r="O203" s="56" t="s">
        <v>257</v>
      </c>
      <c r="P203" s="56" t="s">
        <v>257</v>
      </c>
      <c r="Q203" s="267"/>
      <c r="R203" s="219"/>
      <c r="S203" s="219"/>
      <c r="T203" s="56"/>
      <c r="U203" s="175" t="s">
        <v>43</v>
      </c>
      <c r="V203" s="47"/>
      <c r="W203" s="176"/>
      <c r="X203" s="56" t="s">
        <v>108</v>
      </c>
      <c r="Y203" s="56" t="s">
        <v>402</v>
      </c>
      <c r="Z203" s="56" t="s">
        <v>585</v>
      </c>
      <c r="AA203" s="56" t="s">
        <v>48</v>
      </c>
      <c r="AB203" s="164" t="str">
        <f>IF($A$195="","",IF($A$195="rektangulær","kant/diagonal","diameter"))</f>
        <v/>
      </c>
      <c r="AC203" s="56"/>
      <c r="AD203" s="56" t="s">
        <v>45</v>
      </c>
      <c r="AE203" s="56" t="s">
        <v>292</v>
      </c>
      <c r="AF203" s="56" t="s">
        <v>292</v>
      </c>
      <c r="AG203" s="56" t="s">
        <v>292</v>
      </c>
      <c r="AH203" s="56" t="s">
        <v>257</v>
      </c>
      <c r="AI203" s="190" t="s">
        <v>257</v>
      </c>
      <c r="AJ203" s="267"/>
      <c r="AK203" s="219"/>
    </row>
    <row r="204" spans="1:37" x14ac:dyDescent="0.25">
      <c r="A204" s="56"/>
      <c r="B204" s="175"/>
      <c r="C204" s="47"/>
      <c r="D204" s="176"/>
      <c r="E204" s="56" t="s">
        <v>360</v>
      </c>
      <c r="F204" s="56" t="s">
        <v>403</v>
      </c>
      <c r="G204" s="56"/>
      <c r="H204" s="56"/>
      <c r="I204" s="56" t="s">
        <v>54</v>
      </c>
      <c r="J204" s="56"/>
      <c r="K204" s="56"/>
      <c r="L204" s="56" t="str">
        <f>IF($K$198="","",$K$198)</f>
        <v/>
      </c>
      <c r="M204" s="56" t="str">
        <f>IF($K$198="","",$K$198)</f>
        <v/>
      </c>
      <c r="N204" s="56" t="s">
        <v>60</v>
      </c>
      <c r="O204" s="56" t="s">
        <v>292</v>
      </c>
      <c r="P204" s="56" t="s">
        <v>292</v>
      </c>
      <c r="Q204" s="267"/>
      <c r="R204" s="219"/>
      <c r="S204" s="219"/>
      <c r="T204" s="56"/>
      <c r="U204" s="175"/>
      <c r="V204" s="47"/>
      <c r="W204" s="176"/>
      <c r="X204" s="56" t="s">
        <v>360</v>
      </c>
      <c r="Y204" s="56" t="s">
        <v>403</v>
      </c>
      <c r="Z204" s="56"/>
      <c r="AA204" s="56"/>
      <c r="AB204" s="56" t="s">
        <v>54</v>
      </c>
      <c r="AC204" s="56"/>
      <c r="AD204" s="56"/>
      <c r="AE204" s="56" t="str">
        <f>IF($K$198="","",$K$198)</f>
        <v/>
      </c>
      <c r="AF204" s="56" t="str">
        <f>IF($K$198="","",$K$198)</f>
        <v/>
      </c>
      <c r="AG204" s="56" t="s">
        <v>60</v>
      </c>
      <c r="AH204" s="56" t="s">
        <v>292</v>
      </c>
      <c r="AI204" s="190" t="s">
        <v>292</v>
      </c>
      <c r="AJ204" s="267"/>
      <c r="AK204" s="219"/>
    </row>
    <row r="205" spans="1:37" x14ac:dyDescent="0.25">
      <c r="A205" s="57"/>
      <c r="B205" s="177"/>
      <c r="C205" s="54"/>
      <c r="D205" s="178"/>
      <c r="E205" s="57"/>
      <c r="F205" s="57" t="s">
        <v>103</v>
      </c>
      <c r="G205" s="57"/>
      <c r="H205" s="57" t="s">
        <v>256</v>
      </c>
      <c r="I205" s="57" t="s">
        <v>258</v>
      </c>
      <c r="J205" s="57"/>
      <c r="K205" s="57" t="s">
        <v>256</v>
      </c>
      <c r="L205" s="57" t="s">
        <v>59</v>
      </c>
      <c r="M205" s="57" t="s">
        <v>259</v>
      </c>
      <c r="N205" s="57" t="s">
        <v>58</v>
      </c>
      <c r="O205" s="165" t="s">
        <v>253</v>
      </c>
      <c r="P205" s="165" t="s">
        <v>123</v>
      </c>
      <c r="Q205" s="267"/>
      <c r="R205" s="219"/>
      <c r="S205" s="219"/>
      <c r="T205" s="57"/>
      <c r="U205" s="177"/>
      <c r="V205" s="54"/>
      <c r="W205" s="178"/>
      <c r="X205" s="57"/>
      <c r="Y205" s="57" t="s">
        <v>103</v>
      </c>
      <c r="Z205" s="57"/>
      <c r="AA205" s="57" t="s">
        <v>256</v>
      </c>
      <c r="AB205" s="57" t="s">
        <v>258</v>
      </c>
      <c r="AC205" s="57"/>
      <c r="AD205" s="57" t="s">
        <v>256</v>
      </c>
      <c r="AE205" s="57" t="s">
        <v>59</v>
      </c>
      <c r="AF205" s="57" t="s">
        <v>259</v>
      </c>
      <c r="AG205" s="57" t="s">
        <v>58</v>
      </c>
      <c r="AH205" s="165" t="s">
        <v>253</v>
      </c>
      <c r="AI205" s="268" t="s">
        <v>123</v>
      </c>
      <c r="AJ205" s="267"/>
      <c r="AK205" s="219"/>
    </row>
    <row r="206" spans="1:37" x14ac:dyDescent="0.25">
      <c r="A206" s="58">
        <v>1</v>
      </c>
      <c r="B206" s="417"/>
      <c r="C206" s="496"/>
      <c r="D206" s="418"/>
      <c r="E206" s="84"/>
      <c r="F206" s="84"/>
      <c r="G206" s="84"/>
      <c r="H206" s="84"/>
      <c r="I206" s="84"/>
      <c r="J206" s="84"/>
      <c r="K206" s="84"/>
      <c r="L206" s="84"/>
      <c r="M206" s="166" t="str">
        <f>IF(OR($K$189="",$K$191="",$A$193="",L206=""),"",IF($A$193="SSD detektor",L206*(($K$189-$K$191)/($K$189-$K$190))^2,L206/1.4*(($K$189-$K$191)/($K$189-$K$190))^2))</f>
        <v/>
      </c>
      <c r="N206" s="188" t="str">
        <f>IF(OR($A$193="",$K$189="",$K$191="",$K$198="",L206=""),"",M206*VLOOKUP($K$198,Data!$L$32:$M$40,2,FALSE))</f>
        <v/>
      </c>
      <c r="O206" s="58" t="str">
        <f>IF(OR(F206="",L206=""),"",IF(F206="nej",88,176))</f>
        <v/>
      </c>
      <c r="P206" s="58" t="str">
        <f>IF(OR($A$193="",$K$189="",$K$198="",L206="",N206=""),"",IF(N206&gt;O206,"IKKE OK","OK"))</f>
        <v/>
      </c>
      <c r="Q206" s="329"/>
      <c r="R206" s="256"/>
      <c r="S206" s="219"/>
      <c r="T206" s="58">
        <v>1</v>
      </c>
      <c r="U206" s="417"/>
      <c r="V206" s="496"/>
      <c r="W206" s="418"/>
      <c r="X206" s="84"/>
      <c r="Y206" s="84"/>
      <c r="Z206" s="84"/>
      <c r="AA206" s="84"/>
      <c r="AB206" s="84"/>
      <c r="AC206" s="84"/>
      <c r="AD206" s="84"/>
      <c r="AE206" s="84"/>
      <c r="AF206" s="166" t="str">
        <f>IF(OR($K$189="",$K$191="",$A$193="",AE206=""),"",IF($A$193="SSD detektor",AE206*(($K$189-$K$191)/($K$189-$K$190))^2,AE206/1.4*(($K$189-$K$191)/($K$189-$K$190))^2))</f>
        <v/>
      </c>
      <c r="AG206" s="188" t="str">
        <f>IF(OR($A$193="",$K$189="",$K$191="",AE206=""),"",AF206*VLOOKUP($K$198,Data!$L$32:$M$36,2,FALSE))</f>
        <v/>
      </c>
      <c r="AH206" s="58" t="str">
        <f>IF(OR(Y206="",AE206=""),"",IF(Y206="nej",88,176))</f>
        <v/>
      </c>
      <c r="AI206" s="271" t="str">
        <f>IF(OR($A$193="",$K$189="",AE206="",AG206=""),"",IF(AG206&gt;AH206,"IKKE OK","OK"))</f>
        <v/>
      </c>
      <c r="AJ206" s="267"/>
      <c r="AK206" s="256"/>
    </row>
    <row r="207" spans="1:37" x14ac:dyDescent="0.25">
      <c r="K207" s="13"/>
      <c r="L207" s="192" t="s">
        <v>508</v>
      </c>
      <c r="Q207" s="319"/>
      <c r="R207" s="320"/>
      <c r="S207" s="80"/>
      <c r="AD207" s="13"/>
      <c r="AE207" s="192" t="s">
        <v>508</v>
      </c>
      <c r="AJ207" s="242"/>
      <c r="AK207" s="168"/>
    </row>
    <row r="208" spans="1:37" x14ac:dyDescent="0.25">
      <c r="A208" s="55"/>
      <c r="B208" s="181"/>
      <c r="C208" s="182"/>
      <c r="D208" s="183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6"/>
      <c r="R208" s="190"/>
      <c r="S208" s="267"/>
      <c r="T208" s="55"/>
      <c r="U208" s="181"/>
      <c r="V208" s="182"/>
      <c r="W208" s="183"/>
      <c r="X208" s="55"/>
      <c r="Y208" s="55"/>
      <c r="Z208" s="55"/>
      <c r="AA208" s="55"/>
      <c r="AB208" s="55"/>
      <c r="AC208" s="55"/>
      <c r="AD208" s="55"/>
      <c r="AE208" s="55"/>
      <c r="AF208" s="55"/>
      <c r="AG208" s="55"/>
      <c r="AH208" s="55"/>
      <c r="AI208" s="55"/>
      <c r="AJ208" s="174"/>
      <c r="AK208" s="55"/>
    </row>
    <row r="209" spans="1:37" x14ac:dyDescent="0.25">
      <c r="A209" s="56" t="s">
        <v>42</v>
      </c>
      <c r="B209" s="175" t="s">
        <v>56</v>
      </c>
      <c r="C209" s="47"/>
      <c r="D209" s="176"/>
      <c r="E209" s="56" t="s">
        <v>107</v>
      </c>
      <c r="F209" s="56" t="s">
        <v>401</v>
      </c>
      <c r="G209" s="56" t="s">
        <v>584</v>
      </c>
      <c r="H209" s="56" t="s">
        <v>46</v>
      </c>
      <c r="I209" s="56" t="s">
        <v>53</v>
      </c>
      <c r="J209" s="56" t="s">
        <v>44</v>
      </c>
      <c r="K209" s="56" t="s">
        <v>257</v>
      </c>
      <c r="L209" s="56" t="s">
        <v>109</v>
      </c>
      <c r="M209" s="56" t="s">
        <v>568</v>
      </c>
      <c r="N209" s="56" t="s">
        <v>569</v>
      </c>
      <c r="O209" s="194" t="s">
        <v>386</v>
      </c>
      <c r="P209" s="56" t="s">
        <v>109</v>
      </c>
      <c r="Q209" s="56" t="s">
        <v>64</v>
      </c>
      <c r="R209" s="190" t="s">
        <v>61</v>
      </c>
      <c r="S209" s="267"/>
      <c r="T209" s="56" t="s">
        <v>42</v>
      </c>
      <c r="U209" s="175" t="s">
        <v>56</v>
      </c>
      <c r="V209" s="47"/>
      <c r="W209" s="176"/>
      <c r="X209" s="56" t="s">
        <v>107</v>
      </c>
      <c r="Y209" s="56" t="s">
        <v>401</v>
      </c>
      <c r="Z209" s="56" t="s">
        <v>584</v>
      </c>
      <c r="AA209" s="56" t="s">
        <v>46</v>
      </c>
      <c r="AB209" s="56" t="s">
        <v>53</v>
      </c>
      <c r="AC209" s="56" t="s">
        <v>44</v>
      </c>
      <c r="AD209" s="56" t="s">
        <v>257</v>
      </c>
      <c r="AE209" s="56" t="s">
        <v>109</v>
      </c>
      <c r="AF209" s="56" t="s">
        <v>238</v>
      </c>
      <c r="AG209" s="56" t="s">
        <v>239</v>
      </c>
      <c r="AH209" s="194" t="s">
        <v>386</v>
      </c>
      <c r="AI209" s="56" t="s">
        <v>109</v>
      </c>
      <c r="AJ209" s="190" t="s">
        <v>64</v>
      </c>
      <c r="AK209" s="56" t="s">
        <v>61</v>
      </c>
    </row>
    <row r="210" spans="1:37" x14ac:dyDescent="0.25">
      <c r="A210" s="56"/>
      <c r="B210" s="175" t="s">
        <v>43</v>
      </c>
      <c r="C210" s="47"/>
      <c r="D210" s="176"/>
      <c r="E210" s="56" t="s">
        <v>108</v>
      </c>
      <c r="F210" s="56" t="s">
        <v>402</v>
      </c>
      <c r="G210" s="56" t="s">
        <v>585</v>
      </c>
      <c r="H210" s="56" t="s">
        <v>48</v>
      </c>
      <c r="I210" s="164" t="str">
        <f>IF($A$195="","",IF($A$195="rektangulær","kant/diagonal","diameter"))</f>
        <v/>
      </c>
      <c r="J210" s="56"/>
      <c r="K210" s="56" t="s">
        <v>45</v>
      </c>
      <c r="L210" s="164" t="str">
        <f>IF($K$197="","",$K$197)</f>
        <v/>
      </c>
      <c r="M210" s="164" t="str">
        <f>IF($K$194="","",$K$194)</f>
        <v/>
      </c>
      <c r="N210" s="164" t="str">
        <f>IF($K$194="","",$K$194)</f>
        <v/>
      </c>
      <c r="O210" s="164" t="s">
        <v>62</v>
      </c>
      <c r="P210" s="164" t="s">
        <v>62</v>
      </c>
      <c r="Q210" s="56" t="s">
        <v>52</v>
      </c>
      <c r="R210" s="190"/>
      <c r="S210" s="267"/>
      <c r="T210" s="56"/>
      <c r="U210" s="175" t="s">
        <v>43</v>
      </c>
      <c r="V210" s="47"/>
      <c r="W210" s="176"/>
      <c r="X210" s="56" t="s">
        <v>108</v>
      </c>
      <c r="Y210" s="56" t="s">
        <v>402</v>
      </c>
      <c r="Z210" s="56" t="s">
        <v>585</v>
      </c>
      <c r="AA210" s="56" t="s">
        <v>48</v>
      </c>
      <c r="AB210" s="164" t="str">
        <f>IF($A$195="","",IF($A$195="rektangulær","kant/diagonal","diameter"))</f>
        <v/>
      </c>
      <c r="AC210" s="56"/>
      <c r="AD210" s="56" t="s">
        <v>45</v>
      </c>
      <c r="AE210" s="164" t="str">
        <f>IF($K$197="","",$K$197)</f>
        <v/>
      </c>
      <c r="AF210" s="164" t="str">
        <f>IF($K$194="","",$K$194)</f>
        <v/>
      </c>
      <c r="AG210" s="164" t="str">
        <f>IF($K$194="","",$K$194)</f>
        <v/>
      </c>
      <c r="AH210" s="164" t="s">
        <v>62</v>
      </c>
      <c r="AI210" s="164" t="s">
        <v>62</v>
      </c>
      <c r="AJ210" s="190" t="s">
        <v>52</v>
      </c>
      <c r="AK210" s="56"/>
    </row>
    <row r="211" spans="1:37" x14ac:dyDescent="0.25">
      <c r="A211" s="56"/>
      <c r="B211" s="175"/>
      <c r="C211" s="47"/>
      <c r="D211" s="176"/>
      <c r="E211" s="56" t="s">
        <v>360</v>
      </c>
      <c r="F211" s="56" t="s">
        <v>403</v>
      </c>
      <c r="G211" s="56"/>
      <c r="H211" s="56"/>
      <c r="I211" s="56" t="s">
        <v>54</v>
      </c>
      <c r="J211" s="56"/>
      <c r="K211" s="56"/>
      <c r="L211" s="56" t="s">
        <v>57</v>
      </c>
      <c r="M211" s="56" t="s">
        <v>57</v>
      </c>
      <c r="N211" s="56" t="s">
        <v>57</v>
      </c>
      <c r="O211" s="56"/>
      <c r="P211" s="56" t="s">
        <v>358</v>
      </c>
      <c r="Q211" s="56"/>
      <c r="R211" s="190"/>
      <c r="S211" s="267"/>
      <c r="T211" s="56"/>
      <c r="U211" s="175"/>
      <c r="V211" s="47"/>
      <c r="W211" s="176"/>
      <c r="X211" s="56" t="s">
        <v>360</v>
      </c>
      <c r="Y211" s="56" t="s">
        <v>403</v>
      </c>
      <c r="Z211" s="56"/>
      <c r="AA211" s="56"/>
      <c r="AB211" s="56" t="s">
        <v>54</v>
      </c>
      <c r="AC211" s="56"/>
      <c r="AD211" s="56"/>
      <c r="AE211" s="56" t="s">
        <v>57</v>
      </c>
      <c r="AF211" s="56" t="s">
        <v>57</v>
      </c>
      <c r="AG211" s="56" t="s">
        <v>57</v>
      </c>
      <c r="AH211" s="56"/>
      <c r="AI211" s="56" t="s">
        <v>358</v>
      </c>
      <c r="AJ211" s="190"/>
      <c r="AK211" s="56"/>
    </row>
    <row r="212" spans="1:37" x14ac:dyDescent="0.25">
      <c r="A212" s="57"/>
      <c r="B212" s="177"/>
      <c r="C212" s="54"/>
      <c r="D212" s="178"/>
      <c r="E212" s="57"/>
      <c r="F212" s="57" t="s">
        <v>103</v>
      </c>
      <c r="G212" s="57"/>
      <c r="H212" s="57" t="s">
        <v>256</v>
      </c>
      <c r="I212" s="57" t="s">
        <v>258</v>
      </c>
      <c r="J212" s="57"/>
      <c r="K212" s="57" t="s">
        <v>256</v>
      </c>
      <c r="L212" s="57" t="s">
        <v>505</v>
      </c>
      <c r="M212" s="57" t="s">
        <v>84</v>
      </c>
      <c r="N212" s="57" t="s">
        <v>84</v>
      </c>
      <c r="O212" s="57" t="s">
        <v>84</v>
      </c>
      <c r="P212" s="57" t="s">
        <v>241</v>
      </c>
      <c r="Q212" s="57"/>
      <c r="R212" s="268" t="s">
        <v>237</v>
      </c>
      <c r="S212" s="269"/>
      <c r="T212" s="57"/>
      <c r="U212" s="177"/>
      <c r="V212" s="54"/>
      <c r="W212" s="178"/>
      <c r="X212" s="57"/>
      <c r="Y212" s="57" t="s">
        <v>103</v>
      </c>
      <c r="Z212" s="57"/>
      <c r="AA212" s="57" t="s">
        <v>256</v>
      </c>
      <c r="AB212" s="57" t="s">
        <v>258</v>
      </c>
      <c r="AC212" s="57"/>
      <c r="AD212" s="57" t="s">
        <v>256</v>
      </c>
      <c r="AE212" s="57" t="s">
        <v>505</v>
      </c>
      <c r="AF212" s="57" t="s">
        <v>84</v>
      </c>
      <c r="AG212" s="57" t="s">
        <v>84</v>
      </c>
      <c r="AH212" s="57" t="s">
        <v>84</v>
      </c>
      <c r="AI212" s="57" t="s">
        <v>241</v>
      </c>
      <c r="AJ212" s="191"/>
      <c r="AK212" s="165" t="s">
        <v>237</v>
      </c>
    </row>
    <row r="213" spans="1:37" x14ac:dyDescent="0.25">
      <c r="A213" s="58">
        <v>1</v>
      </c>
      <c r="B213" s="417"/>
      <c r="C213" s="496"/>
      <c r="D213" s="418"/>
      <c r="E213" s="84"/>
      <c r="F213" s="84"/>
      <c r="G213" s="84"/>
      <c r="H213" s="84"/>
      <c r="I213" s="84"/>
      <c r="J213" s="84"/>
      <c r="K213" s="84"/>
      <c r="L213" s="84"/>
      <c r="M213" s="84"/>
      <c r="N213" s="84"/>
      <c r="O213" s="255" t="str">
        <f>IF(OR($K$194="",M213="",N213=""),"",(N213-M213)*VLOOKUP($K$194,Data!$O$32:$P$40,2,FALSE))</f>
        <v/>
      </c>
      <c r="P213" s="255" t="str">
        <f>IF(OR($A$193="",$K$189="",$K$191="",$K$192="",$K$197="",L213=""),"",IF($A$193="Ionkammer",L213*(($K$189-$K$191)/($K$189-$K$192))^2*VLOOKUP($K$197,Data!$O$32:$P$36,2,FALSE)/1.4,L213*(($K$189-$K$191)/($K$189-$K$192))^2*VLOOKUP($K$197,Data!$O$32:$P$36,2,FALSE)))</f>
        <v/>
      </c>
      <c r="Q213" s="270" t="str">
        <f>IF(OR(L213="",N213="",$K$189="",$O$213="",$P$213=""),"",ABS(P213/O213-1)*100)</f>
        <v/>
      </c>
      <c r="R213" s="271" t="str">
        <f>IF(Q213="","",IF(Q213&gt;35,"IKKE OK","OK"))</f>
        <v/>
      </c>
      <c r="S213" s="267"/>
      <c r="T213" s="58">
        <v>1</v>
      </c>
      <c r="U213" s="417"/>
      <c r="V213" s="496"/>
      <c r="W213" s="418"/>
      <c r="X213" s="84" t="s">
        <v>674</v>
      </c>
      <c r="Y213" s="84" t="s">
        <v>113</v>
      </c>
      <c r="Z213" s="84" t="s">
        <v>676</v>
      </c>
      <c r="AA213" s="84">
        <v>7.5</v>
      </c>
      <c r="AB213" s="84">
        <v>23</v>
      </c>
      <c r="AC213" s="84">
        <v>80</v>
      </c>
      <c r="AD213" s="84">
        <v>150</v>
      </c>
      <c r="AE213" s="84">
        <v>10</v>
      </c>
      <c r="AF213" s="84">
        <v>1</v>
      </c>
      <c r="AG213" s="84">
        <v>9.5</v>
      </c>
      <c r="AH213" s="255" t="str">
        <f>IF(OR($K$194="",AF213="",AG213=""),"",(AG213-AF213)*VLOOKUP($K$194,Data!$O$32:$P$36,2,FALSE))</f>
        <v/>
      </c>
      <c r="AI213" s="255" t="str">
        <f>IF(OR($A$193="",$K$189="",$K$191="",$K$192="",AE213=""),"",IF($A$193="Ionkammer",AE213*(($K$189-$K$191)/($K$189-$K$192))^2*VLOOKUP($K$197,Data!$O$32:$P$36,2,FALSE)/1.4,AE213*(($K$189-$K$191)/($K$189-$K$192))^2*VLOOKUP($K$197,Data!$O$32:$P$36,2,FALSE)))</f>
        <v/>
      </c>
      <c r="AJ213" s="270" t="str">
        <f>IF(OR(AE213="",AG213="",$K$189="",$O$213="",AH213="",AI213=""),"",ABS(AI213/AH213-1)*100)</f>
        <v/>
      </c>
      <c r="AK213" s="58" t="str">
        <f>IF(AJ213="","",IF(AJ213&gt;35,"IKKE OK","OK"))</f>
        <v/>
      </c>
    </row>
    <row r="214" spans="1:37" x14ac:dyDescent="0.25">
      <c r="T214" s="51"/>
      <c r="U214" s="51"/>
      <c r="V214" s="51"/>
      <c r="W214" s="51"/>
      <c r="X214" s="51"/>
      <c r="Y214" s="51"/>
      <c r="Z214" s="51"/>
      <c r="AA214" s="51"/>
      <c r="AB214" s="51"/>
    </row>
    <row r="215" spans="1:37" x14ac:dyDescent="0.25">
      <c r="Q215" s="51"/>
      <c r="T215" s="51"/>
      <c r="U215" s="51"/>
      <c r="V215" s="51"/>
      <c r="W215" s="51"/>
      <c r="X215" s="51"/>
      <c r="Y215" s="51"/>
      <c r="Z215" s="51"/>
      <c r="AA215" s="51"/>
      <c r="AB215" s="51"/>
    </row>
    <row r="216" spans="1:37" ht="18.75" x14ac:dyDescent="0.3">
      <c r="A216" s="43" t="s">
        <v>475</v>
      </c>
      <c r="B216" s="45"/>
      <c r="C216" s="45"/>
      <c r="D216" s="45"/>
      <c r="E216" s="45"/>
      <c r="F216" s="43" t="s">
        <v>632</v>
      </c>
      <c r="G216" s="43"/>
      <c r="H216" s="45"/>
      <c r="I216" s="45"/>
      <c r="J216" s="45"/>
      <c r="K216" s="45"/>
      <c r="L216" s="45"/>
      <c r="M216" s="45"/>
      <c r="N216" s="45"/>
      <c r="O216" s="45"/>
      <c r="P216" s="45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</row>
    <row r="217" spans="1:37" x14ac:dyDescent="0.25">
      <c r="Q217" s="51"/>
      <c r="R217" s="51"/>
      <c r="S217" s="51"/>
      <c r="T217" s="51"/>
      <c r="U217" s="51"/>
    </row>
    <row r="218" spans="1:37" x14ac:dyDescent="0.25">
      <c r="A218" s="46" t="s">
        <v>309</v>
      </c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68" t="s">
        <v>90</v>
      </c>
      <c r="M218" s="47"/>
      <c r="N218" s="68"/>
      <c r="O218" s="47"/>
      <c r="P218" s="47"/>
      <c r="Q218" s="51"/>
      <c r="R218" s="51"/>
      <c r="S218" s="51"/>
      <c r="T218" s="51"/>
      <c r="U218" s="51"/>
    </row>
    <row r="219" spans="1:37" x14ac:dyDescent="0.25">
      <c r="A219" s="48" t="s">
        <v>40</v>
      </c>
      <c r="B219" s="49" t="s">
        <v>555</v>
      </c>
      <c r="C219" s="49"/>
      <c r="D219" s="49"/>
      <c r="E219" s="49"/>
      <c r="F219" s="49"/>
      <c r="G219" s="49"/>
      <c r="H219" s="49"/>
      <c r="I219" s="49"/>
      <c r="J219" s="49"/>
      <c r="K219" s="264"/>
      <c r="L219" s="503"/>
      <c r="M219" s="504"/>
      <c r="N219" s="504"/>
      <c r="O219" s="504"/>
      <c r="P219" s="505"/>
      <c r="Q219" s="219"/>
      <c r="R219" s="51"/>
      <c r="S219" s="51"/>
      <c r="T219" s="51"/>
      <c r="U219" s="51"/>
    </row>
    <row r="220" spans="1:37" x14ac:dyDescent="0.25">
      <c r="A220" s="50" t="s">
        <v>646</v>
      </c>
      <c r="B220" s="51" t="s">
        <v>768</v>
      </c>
      <c r="C220" s="51"/>
      <c r="D220" s="51"/>
      <c r="E220" s="51"/>
      <c r="F220" s="51"/>
      <c r="G220" s="51"/>
      <c r="H220" s="51"/>
      <c r="I220" s="51"/>
      <c r="J220" s="51"/>
      <c r="K220" s="82"/>
      <c r="L220" s="475"/>
      <c r="M220" s="476"/>
      <c r="N220" s="476"/>
      <c r="O220" s="476"/>
      <c r="P220" s="477"/>
      <c r="Q220" s="219"/>
      <c r="R220" s="51"/>
      <c r="S220" s="51"/>
      <c r="T220" s="51"/>
      <c r="U220" s="51"/>
    </row>
    <row r="221" spans="1:37" x14ac:dyDescent="0.25">
      <c r="A221" s="50" t="s">
        <v>639</v>
      </c>
      <c r="B221" s="51" t="s">
        <v>769</v>
      </c>
      <c r="C221" s="51"/>
      <c r="D221" s="51"/>
      <c r="E221" s="51"/>
      <c r="F221" s="51"/>
      <c r="G221" s="51"/>
      <c r="H221" s="51"/>
      <c r="I221" s="51"/>
      <c r="J221" s="51"/>
      <c r="K221" s="82"/>
      <c r="L221" s="475"/>
      <c r="M221" s="476"/>
      <c r="N221" s="476"/>
      <c r="O221" s="476"/>
      <c r="P221" s="477"/>
      <c r="Q221" s="219"/>
      <c r="R221" s="51"/>
      <c r="S221" s="51"/>
      <c r="T221" s="51"/>
      <c r="U221" s="51"/>
    </row>
    <row r="222" spans="1:37" x14ac:dyDescent="0.25">
      <c r="A222" s="50"/>
      <c r="B222" s="51" t="s">
        <v>260</v>
      </c>
      <c r="C222" s="51"/>
      <c r="D222" s="51"/>
      <c r="E222" s="51"/>
      <c r="F222" s="51"/>
      <c r="G222" s="51"/>
      <c r="H222" s="51"/>
      <c r="I222" s="51"/>
      <c r="J222" s="51"/>
      <c r="K222" s="82"/>
      <c r="L222" s="475"/>
      <c r="M222" s="476"/>
      <c r="N222" s="476"/>
      <c r="O222" s="476"/>
      <c r="P222" s="477"/>
      <c r="Q222" s="219"/>
      <c r="R222" s="51"/>
      <c r="S222" s="51"/>
      <c r="T222" s="51"/>
      <c r="U222" s="51"/>
    </row>
    <row r="223" spans="1:37" x14ac:dyDescent="0.25">
      <c r="A223" s="50"/>
      <c r="B223" s="51" t="s">
        <v>556</v>
      </c>
      <c r="C223" s="51"/>
      <c r="D223" s="51"/>
      <c r="E223" s="51"/>
      <c r="F223" s="51"/>
      <c r="G223" s="51"/>
      <c r="H223" s="51"/>
      <c r="I223" s="51"/>
      <c r="J223" s="51"/>
      <c r="K223" s="82"/>
      <c r="L223" s="475"/>
      <c r="M223" s="476"/>
      <c r="N223" s="476"/>
      <c r="O223" s="476"/>
      <c r="P223" s="477"/>
      <c r="Q223" s="219"/>
      <c r="R223" s="51"/>
      <c r="S223" s="51"/>
      <c r="T223" s="51"/>
      <c r="U223" s="51"/>
    </row>
    <row r="224" spans="1:37" x14ac:dyDescent="0.25">
      <c r="A224" s="50"/>
      <c r="B224" s="51" t="s">
        <v>476</v>
      </c>
      <c r="C224" s="51"/>
      <c r="D224" s="51"/>
      <c r="E224" s="51"/>
      <c r="F224" s="51"/>
      <c r="G224" s="51"/>
      <c r="H224" s="51"/>
      <c r="I224" s="51"/>
      <c r="J224" s="51"/>
      <c r="K224" s="82"/>
      <c r="L224" s="475"/>
      <c r="M224" s="476"/>
      <c r="N224" s="476"/>
      <c r="O224" s="476"/>
      <c r="P224" s="477"/>
      <c r="Q224" s="219"/>
      <c r="R224" s="51"/>
      <c r="S224" s="51"/>
      <c r="T224" s="51"/>
      <c r="U224" s="51"/>
    </row>
    <row r="225" spans="1:21" x14ac:dyDescent="0.25">
      <c r="A225" s="50"/>
      <c r="B225" s="51" t="s">
        <v>770</v>
      </c>
      <c r="C225" s="51"/>
      <c r="D225" s="51"/>
      <c r="E225" s="51"/>
      <c r="F225" s="51"/>
      <c r="G225" s="51"/>
      <c r="H225" s="51"/>
      <c r="I225" s="51"/>
      <c r="J225" s="51"/>
      <c r="K225" s="82"/>
      <c r="L225" s="475"/>
      <c r="M225" s="476"/>
      <c r="N225" s="476"/>
      <c r="O225" s="476"/>
      <c r="P225" s="477"/>
      <c r="Q225" s="219"/>
      <c r="R225" s="51"/>
      <c r="S225" s="51"/>
      <c r="T225" s="51"/>
      <c r="U225" s="51"/>
    </row>
    <row r="226" spans="1:21" x14ac:dyDescent="0.25">
      <c r="A226" s="50"/>
      <c r="B226" s="51" t="s">
        <v>771</v>
      </c>
      <c r="C226" s="51"/>
      <c r="D226" s="51"/>
      <c r="E226" s="51"/>
      <c r="F226" s="51"/>
      <c r="G226" s="51"/>
      <c r="H226" s="51"/>
      <c r="I226" s="51"/>
      <c r="J226" s="51"/>
      <c r="K226" s="82"/>
      <c r="L226" s="475"/>
      <c r="M226" s="476"/>
      <c r="N226" s="476"/>
      <c r="O226" s="476"/>
      <c r="P226" s="477"/>
      <c r="Q226" s="219"/>
      <c r="R226" s="51"/>
      <c r="S226" s="51"/>
      <c r="T226" s="51"/>
      <c r="U226" s="51"/>
    </row>
    <row r="227" spans="1:21" x14ac:dyDescent="0.25">
      <c r="A227" s="50"/>
      <c r="B227" s="51" t="s">
        <v>772</v>
      </c>
      <c r="C227" s="51"/>
      <c r="D227" s="51"/>
      <c r="E227" s="51"/>
      <c r="F227" s="51"/>
      <c r="G227" s="51"/>
      <c r="H227" s="51"/>
      <c r="I227" s="51"/>
      <c r="J227" s="51"/>
      <c r="K227" s="82"/>
      <c r="L227" s="475"/>
      <c r="M227" s="476"/>
      <c r="N227" s="476"/>
      <c r="O227" s="476"/>
      <c r="P227" s="477"/>
      <c r="Q227" s="219"/>
      <c r="R227" s="51"/>
      <c r="S227" s="51"/>
      <c r="T227" s="51"/>
      <c r="U227" s="51"/>
    </row>
    <row r="228" spans="1:21" x14ac:dyDescent="0.25">
      <c r="A228" s="50"/>
      <c r="B228" s="51" t="s">
        <v>773</v>
      </c>
      <c r="C228" s="51"/>
      <c r="D228" s="51"/>
      <c r="E228" s="51"/>
      <c r="F228" s="51"/>
      <c r="G228" s="51"/>
      <c r="H228" s="51"/>
      <c r="I228" s="51"/>
      <c r="J228" s="51"/>
      <c r="K228" s="82"/>
      <c r="L228" s="475"/>
      <c r="M228" s="476"/>
      <c r="N228" s="476"/>
      <c r="O228" s="476"/>
      <c r="P228" s="477"/>
      <c r="Q228" s="219"/>
      <c r="R228" s="51"/>
      <c r="S228" s="51"/>
      <c r="T228" s="51"/>
      <c r="U228" s="51"/>
    </row>
    <row r="229" spans="1:21" x14ac:dyDescent="0.25">
      <c r="A229" s="50"/>
      <c r="B229" s="51" t="s">
        <v>774</v>
      </c>
      <c r="C229" s="51"/>
      <c r="D229" s="51"/>
      <c r="E229" s="51"/>
      <c r="F229" s="51"/>
      <c r="G229" s="51"/>
      <c r="H229" s="51"/>
      <c r="I229" s="51"/>
      <c r="J229" s="51"/>
      <c r="K229" s="82"/>
      <c r="L229" s="475"/>
      <c r="M229" s="476"/>
      <c r="N229" s="476"/>
      <c r="O229" s="476"/>
      <c r="P229" s="477"/>
      <c r="Q229" s="219"/>
      <c r="R229" s="51"/>
      <c r="S229" s="51"/>
      <c r="T229" s="51"/>
      <c r="U229" s="51"/>
    </row>
    <row r="230" spans="1:21" x14ac:dyDescent="0.25">
      <c r="A230" s="50"/>
      <c r="B230" s="51" t="s">
        <v>775</v>
      </c>
      <c r="C230" s="51"/>
      <c r="D230" s="51"/>
      <c r="E230" s="51"/>
      <c r="F230" s="51"/>
      <c r="G230" s="51"/>
      <c r="H230" s="51"/>
      <c r="I230" s="51"/>
      <c r="J230" s="51"/>
      <c r="K230" s="82"/>
      <c r="L230" s="475"/>
      <c r="M230" s="476"/>
      <c r="N230" s="476"/>
      <c r="O230" s="476"/>
      <c r="P230" s="477"/>
      <c r="Q230" s="219"/>
      <c r="R230" s="51"/>
      <c r="S230" s="51"/>
      <c r="T230" s="51"/>
      <c r="U230" s="51"/>
    </row>
    <row r="231" spans="1:21" x14ac:dyDescent="0.25">
      <c r="A231" s="50" t="s">
        <v>41</v>
      </c>
      <c r="B231" s="51" t="s">
        <v>261</v>
      </c>
      <c r="C231" s="51"/>
      <c r="D231" s="51"/>
      <c r="E231" s="51"/>
      <c r="F231" s="51"/>
      <c r="G231" s="51"/>
      <c r="H231" s="51"/>
      <c r="I231" s="51"/>
      <c r="J231" s="51"/>
      <c r="K231" s="82"/>
      <c r="L231" s="475"/>
      <c r="M231" s="476"/>
      <c r="N231" s="476"/>
      <c r="O231" s="476"/>
      <c r="P231" s="477"/>
      <c r="Q231" s="219"/>
      <c r="R231" s="51"/>
      <c r="S231" s="51"/>
      <c r="T231" s="51"/>
      <c r="U231" s="51"/>
    </row>
    <row r="232" spans="1:21" x14ac:dyDescent="0.25">
      <c r="A232" s="50"/>
      <c r="B232" s="215" t="s">
        <v>559</v>
      </c>
      <c r="C232" s="51"/>
      <c r="D232" s="51"/>
      <c r="E232" s="51"/>
      <c r="F232" s="51"/>
      <c r="G232" s="51"/>
      <c r="H232" s="51"/>
      <c r="I232" s="51"/>
      <c r="J232" s="51"/>
      <c r="K232" s="82"/>
      <c r="L232" s="475"/>
      <c r="M232" s="476"/>
      <c r="N232" s="476"/>
      <c r="O232" s="476"/>
      <c r="P232" s="477"/>
      <c r="Q232" s="219"/>
      <c r="R232" s="51"/>
      <c r="S232" s="51"/>
      <c r="T232" s="51"/>
      <c r="U232" s="51"/>
    </row>
    <row r="233" spans="1:21" x14ac:dyDescent="0.25">
      <c r="A233" s="50"/>
      <c r="B233" s="215" t="s">
        <v>560</v>
      </c>
      <c r="C233" s="51"/>
      <c r="D233" s="51"/>
      <c r="E233" s="51"/>
      <c r="F233" s="51"/>
      <c r="G233" s="51"/>
      <c r="H233" s="51"/>
      <c r="I233" s="51"/>
      <c r="J233" s="51"/>
      <c r="K233" s="82"/>
      <c r="L233" s="475"/>
      <c r="M233" s="476"/>
      <c r="N233" s="476"/>
      <c r="O233" s="476"/>
      <c r="P233" s="477"/>
      <c r="Q233" s="219"/>
      <c r="R233" s="51"/>
      <c r="S233" s="51"/>
      <c r="T233" s="51"/>
      <c r="U233" s="51"/>
    </row>
    <row r="234" spans="1:21" x14ac:dyDescent="0.25">
      <c r="A234" s="50"/>
      <c r="B234" s="51" t="s">
        <v>557</v>
      </c>
      <c r="C234" s="51"/>
      <c r="D234" s="51"/>
      <c r="E234" s="51"/>
      <c r="F234" s="51"/>
      <c r="G234" s="51"/>
      <c r="H234" s="51"/>
      <c r="I234" s="51"/>
      <c r="J234" s="51"/>
      <c r="K234" s="82"/>
      <c r="L234" s="475"/>
      <c r="M234" s="476"/>
      <c r="N234" s="476"/>
      <c r="O234" s="476"/>
      <c r="P234" s="477"/>
      <c r="Q234" s="219"/>
      <c r="R234" s="51"/>
      <c r="S234" s="51"/>
      <c r="T234" s="51"/>
      <c r="U234" s="51"/>
    </row>
    <row r="235" spans="1:21" x14ac:dyDescent="0.25">
      <c r="A235" s="50"/>
      <c r="B235" s="51" t="s">
        <v>558</v>
      </c>
      <c r="C235" s="51"/>
      <c r="D235" s="51"/>
      <c r="E235" s="51"/>
      <c r="F235" s="51"/>
      <c r="G235" s="51"/>
      <c r="H235" s="51"/>
      <c r="I235" s="51"/>
      <c r="J235" s="51"/>
      <c r="K235" s="82"/>
      <c r="L235" s="475"/>
      <c r="M235" s="476"/>
      <c r="N235" s="476"/>
      <c r="O235" s="476"/>
      <c r="P235" s="477"/>
      <c r="Q235" s="219"/>
      <c r="R235" s="51"/>
      <c r="S235" s="51"/>
      <c r="T235" s="51"/>
      <c r="U235" s="51"/>
    </row>
    <row r="236" spans="1:21" x14ac:dyDescent="0.25">
      <c r="A236" s="50"/>
      <c r="B236" s="51"/>
      <c r="C236" s="51"/>
      <c r="D236" s="51"/>
      <c r="E236" s="51"/>
      <c r="F236" s="51"/>
      <c r="G236" s="51"/>
      <c r="H236" s="51"/>
      <c r="I236" s="51"/>
      <c r="J236" s="51"/>
      <c r="K236" s="82"/>
      <c r="L236" s="475"/>
      <c r="M236" s="476"/>
      <c r="N236" s="476"/>
      <c r="O236" s="476"/>
      <c r="P236" s="477"/>
      <c r="Q236" s="219"/>
      <c r="R236" s="51"/>
      <c r="S236" s="51"/>
      <c r="T236" s="51"/>
      <c r="U236" s="51"/>
    </row>
    <row r="237" spans="1:21" x14ac:dyDescent="0.25">
      <c r="A237" s="50"/>
      <c r="B237" s="51"/>
      <c r="C237" s="51"/>
      <c r="D237" s="51"/>
      <c r="E237" s="51"/>
      <c r="F237" s="51"/>
      <c r="G237" s="51"/>
      <c r="H237" s="51"/>
      <c r="I237" s="51"/>
      <c r="J237" s="51"/>
      <c r="K237" s="82"/>
      <c r="L237" s="475"/>
      <c r="M237" s="476"/>
      <c r="N237" s="476"/>
      <c r="O237" s="476"/>
      <c r="P237" s="477"/>
      <c r="Q237" s="219"/>
      <c r="R237" s="51"/>
      <c r="S237" s="51"/>
      <c r="T237" s="51"/>
      <c r="U237" s="51"/>
    </row>
    <row r="238" spans="1:21" x14ac:dyDescent="0.25">
      <c r="A238" s="50"/>
      <c r="B238" s="51"/>
      <c r="C238" s="51"/>
      <c r="D238" s="51"/>
      <c r="E238" s="51"/>
      <c r="F238" s="215"/>
      <c r="G238" s="51"/>
      <c r="H238" s="51"/>
      <c r="I238" s="51"/>
      <c r="J238" s="51"/>
      <c r="K238" s="82"/>
      <c r="L238" s="475"/>
      <c r="M238" s="476"/>
      <c r="N238" s="476"/>
      <c r="O238" s="476"/>
      <c r="P238" s="477"/>
      <c r="Q238" s="219"/>
      <c r="R238" s="51"/>
      <c r="S238" s="51"/>
      <c r="T238" s="51"/>
      <c r="U238" s="51"/>
    </row>
    <row r="239" spans="1:21" x14ac:dyDescent="0.25">
      <c r="A239" s="50"/>
      <c r="B239" s="51"/>
      <c r="C239" s="51"/>
      <c r="D239" s="51"/>
      <c r="E239" s="51"/>
      <c r="F239" s="51"/>
      <c r="G239" s="51"/>
      <c r="H239" s="51"/>
      <c r="I239" s="51"/>
      <c r="J239" s="51"/>
      <c r="K239" s="82"/>
      <c r="L239" s="475"/>
      <c r="M239" s="476"/>
      <c r="N239" s="476"/>
      <c r="O239" s="476"/>
      <c r="P239" s="477"/>
      <c r="Q239" s="219"/>
      <c r="R239" s="51"/>
      <c r="S239" s="51"/>
      <c r="T239" s="51"/>
      <c r="U239" s="51"/>
    </row>
    <row r="240" spans="1:21" x14ac:dyDescent="0.25">
      <c r="A240" s="50"/>
      <c r="B240" s="51"/>
      <c r="C240" s="51"/>
      <c r="D240" s="51"/>
      <c r="E240" s="51"/>
      <c r="F240" s="51"/>
      <c r="G240" s="51"/>
      <c r="H240" s="51"/>
      <c r="I240" s="51"/>
      <c r="J240" s="51"/>
      <c r="K240" s="82"/>
      <c r="L240" s="475"/>
      <c r="M240" s="476"/>
      <c r="N240" s="476"/>
      <c r="O240" s="476"/>
      <c r="P240" s="477"/>
      <c r="Q240" s="219"/>
      <c r="R240" s="51"/>
      <c r="S240" s="51"/>
      <c r="T240" s="51"/>
      <c r="U240" s="51"/>
    </row>
    <row r="241" spans="1:21" x14ac:dyDescent="0.25">
      <c r="A241" s="50"/>
      <c r="B241" s="51"/>
      <c r="C241" s="51"/>
      <c r="D241" s="51"/>
      <c r="E241" s="51"/>
      <c r="F241" s="51"/>
      <c r="G241" s="51"/>
      <c r="H241" s="51"/>
      <c r="I241" s="51"/>
      <c r="J241" s="51"/>
      <c r="K241" s="82"/>
      <c r="L241" s="475"/>
      <c r="M241" s="476"/>
      <c r="N241" s="476"/>
      <c r="O241" s="476"/>
      <c r="P241" s="477"/>
      <c r="Q241" s="219"/>
      <c r="R241" s="51"/>
      <c r="S241" s="51"/>
      <c r="T241" s="51"/>
      <c r="U241" s="51"/>
    </row>
    <row r="242" spans="1:21" x14ac:dyDescent="0.25">
      <c r="A242" s="50"/>
      <c r="B242" s="51"/>
      <c r="C242" s="51"/>
      <c r="D242" s="51"/>
      <c r="E242" s="51"/>
      <c r="F242" s="51"/>
      <c r="G242" s="51"/>
      <c r="H242" s="51"/>
      <c r="I242" s="51"/>
      <c r="J242" s="51"/>
      <c r="K242" s="82"/>
      <c r="L242" s="475"/>
      <c r="M242" s="476"/>
      <c r="N242" s="476"/>
      <c r="O242" s="476"/>
      <c r="P242" s="477"/>
      <c r="Q242" s="219"/>
      <c r="R242" s="51"/>
      <c r="S242" s="51"/>
      <c r="T242" s="51"/>
      <c r="U242" s="51"/>
    </row>
    <row r="243" spans="1:21" x14ac:dyDescent="0.25">
      <c r="A243" s="50"/>
      <c r="B243" s="51"/>
      <c r="C243" s="51"/>
      <c r="D243" s="51"/>
      <c r="E243" s="51"/>
      <c r="F243" s="51"/>
      <c r="G243" s="51"/>
      <c r="H243" s="51"/>
      <c r="I243" s="51"/>
      <c r="J243" s="51"/>
      <c r="K243" s="82"/>
      <c r="L243" s="475"/>
      <c r="M243" s="476"/>
      <c r="N243" s="476"/>
      <c r="O243" s="476"/>
      <c r="P243" s="477"/>
      <c r="Q243" s="219"/>
      <c r="R243" s="51"/>
      <c r="S243" s="51"/>
      <c r="T243" s="51"/>
      <c r="U243" s="51"/>
    </row>
    <row r="244" spans="1:21" x14ac:dyDescent="0.25">
      <c r="A244" s="50"/>
      <c r="B244" s="51"/>
      <c r="C244" s="51"/>
      <c r="D244" s="51"/>
      <c r="E244" s="51"/>
      <c r="F244" s="51"/>
      <c r="G244" s="51"/>
      <c r="H244" s="51"/>
      <c r="I244" s="51"/>
      <c r="J244" s="51"/>
      <c r="K244" s="82"/>
      <c r="L244" s="475"/>
      <c r="M244" s="476"/>
      <c r="N244" s="476"/>
      <c r="O244" s="476"/>
      <c r="P244" s="477"/>
      <c r="Q244" s="219"/>
      <c r="R244" s="51"/>
      <c r="S244" s="51"/>
      <c r="T244" s="51"/>
      <c r="U244" s="51"/>
    </row>
    <row r="245" spans="1:21" x14ac:dyDescent="0.25">
      <c r="A245" s="50"/>
      <c r="B245" s="51"/>
      <c r="C245" s="51"/>
      <c r="D245" s="51"/>
      <c r="E245" s="51"/>
      <c r="F245" s="51"/>
      <c r="G245" s="51"/>
      <c r="H245" s="51"/>
      <c r="I245" s="51"/>
      <c r="J245" s="51"/>
      <c r="K245" s="82"/>
      <c r="L245" s="475"/>
      <c r="M245" s="476"/>
      <c r="N245" s="476"/>
      <c r="O245" s="476"/>
      <c r="P245" s="477"/>
      <c r="Q245" s="219"/>
      <c r="R245" s="51"/>
      <c r="S245" s="51"/>
      <c r="T245" s="51"/>
      <c r="U245" s="51"/>
    </row>
    <row r="246" spans="1:21" x14ac:dyDescent="0.25">
      <c r="A246" s="50"/>
      <c r="B246" s="51"/>
      <c r="C246" s="51"/>
      <c r="D246" s="51"/>
      <c r="E246" s="51"/>
      <c r="F246" s="51"/>
      <c r="G246" s="51"/>
      <c r="H246" s="51"/>
      <c r="I246" s="51"/>
      <c r="J246" s="51"/>
      <c r="K246" s="82"/>
      <c r="L246" s="475"/>
      <c r="M246" s="476"/>
      <c r="N246" s="476"/>
      <c r="O246" s="476"/>
      <c r="P246" s="477"/>
      <c r="Q246" s="219"/>
      <c r="R246" s="51"/>
      <c r="S246" s="51"/>
      <c r="T246" s="51"/>
      <c r="U246" s="51"/>
    </row>
    <row r="247" spans="1:21" x14ac:dyDescent="0.25">
      <c r="A247" s="50"/>
      <c r="B247" s="51"/>
      <c r="C247" s="51"/>
      <c r="D247" s="51"/>
      <c r="E247" s="51"/>
      <c r="F247" s="51"/>
      <c r="G247" s="51"/>
      <c r="H247" s="51"/>
      <c r="I247" s="51"/>
      <c r="J247" s="51"/>
      <c r="K247" s="82"/>
      <c r="L247" s="475"/>
      <c r="M247" s="476"/>
      <c r="N247" s="476"/>
      <c r="O247" s="476"/>
      <c r="P247" s="477"/>
      <c r="Q247" s="219"/>
      <c r="R247" s="51"/>
      <c r="S247" s="51"/>
      <c r="T247" s="51"/>
      <c r="U247" s="51"/>
    </row>
    <row r="248" spans="1:21" x14ac:dyDescent="0.25">
      <c r="A248" s="50"/>
      <c r="B248" s="51"/>
      <c r="C248" s="51"/>
      <c r="D248" s="51"/>
      <c r="E248" s="51"/>
      <c r="F248" s="51"/>
      <c r="G248" s="51"/>
      <c r="H248" s="51"/>
      <c r="I248" s="51"/>
      <c r="J248" s="51"/>
      <c r="K248" s="82"/>
      <c r="L248" s="475"/>
      <c r="M248" s="476"/>
      <c r="N248" s="476"/>
      <c r="O248" s="476"/>
      <c r="P248" s="477"/>
      <c r="Q248" s="219"/>
      <c r="R248" s="51"/>
      <c r="S248" s="51"/>
      <c r="T248" s="51"/>
      <c r="U248" s="51"/>
    </row>
    <row r="249" spans="1:21" x14ac:dyDescent="0.25">
      <c r="A249" s="50"/>
      <c r="B249" s="51"/>
      <c r="C249" s="51"/>
      <c r="D249" s="51"/>
      <c r="E249" s="51"/>
      <c r="F249" s="51"/>
      <c r="G249" s="51"/>
      <c r="H249" s="51"/>
      <c r="I249" s="51"/>
      <c r="J249" s="51"/>
      <c r="K249" s="82"/>
      <c r="L249" s="475"/>
      <c r="M249" s="476"/>
      <c r="N249" s="476"/>
      <c r="O249" s="476"/>
      <c r="P249" s="477"/>
      <c r="Q249" s="219"/>
      <c r="R249" s="51"/>
      <c r="S249" s="51"/>
      <c r="T249" s="51"/>
      <c r="U249" s="51"/>
    </row>
    <row r="250" spans="1:21" x14ac:dyDescent="0.25">
      <c r="A250" s="50"/>
      <c r="B250" s="51"/>
      <c r="C250" s="51"/>
      <c r="D250" s="51"/>
      <c r="E250" s="51"/>
      <c r="F250" s="51"/>
      <c r="G250" s="51"/>
      <c r="H250" s="51"/>
      <c r="I250" s="51"/>
      <c r="J250" s="51"/>
      <c r="K250" s="82"/>
      <c r="L250" s="475"/>
      <c r="M250" s="476"/>
      <c r="N250" s="476"/>
      <c r="O250" s="476"/>
      <c r="P250" s="477"/>
      <c r="Q250" s="219"/>
      <c r="R250" s="51"/>
      <c r="S250" s="51"/>
      <c r="T250" s="51"/>
      <c r="U250" s="51"/>
    </row>
    <row r="251" spans="1:21" x14ac:dyDescent="0.25">
      <c r="A251" s="50"/>
      <c r="B251" s="51" t="s">
        <v>623</v>
      </c>
      <c r="C251" s="51"/>
      <c r="D251" s="51"/>
      <c r="E251" s="51"/>
      <c r="F251" s="51"/>
      <c r="G251" s="51"/>
      <c r="H251" s="51"/>
      <c r="I251" s="51"/>
      <c r="J251" s="51"/>
      <c r="K251" s="82"/>
      <c r="L251" s="475"/>
      <c r="M251" s="476"/>
      <c r="N251" s="476"/>
      <c r="O251" s="476"/>
      <c r="P251" s="477"/>
      <c r="Q251" s="219"/>
      <c r="R251" s="51"/>
      <c r="S251" s="51"/>
      <c r="T251" s="51"/>
      <c r="U251" s="51"/>
    </row>
    <row r="252" spans="1:21" x14ac:dyDescent="0.25">
      <c r="A252" s="50"/>
      <c r="B252" s="51"/>
      <c r="C252" s="51"/>
      <c r="D252" s="51"/>
      <c r="E252" s="51"/>
      <c r="F252" s="51"/>
      <c r="G252" s="51"/>
      <c r="H252" s="51"/>
      <c r="I252" s="51"/>
      <c r="J252" s="51"/>
      <c r="K252" s="82"/>
      <c r="L252" s="475"/>
      <c r="M252" s="476"/>
      <c r="N252" s="476"/>
      <c r="O252" s="476"/>
      <c r="P252" s="477"/>
      <c r="Q252" s="219"/>
      <c r="R252" s="51"/>
      <c r="S252" s="51"/>
      <c r="T252" s="51"/>
      <c r="U252" s="51"/>
    </row>
    <row r="253" spans="1:21" x14ac:dyDescent="0.25">
      <c r="A253" s="242"/>
      <c r="B253" s="168"/>
      <c r="C253" s="79"/>
      <c r="D253" s="79"/>
      <c r="E253" s="79"/>
      <c r="F253" s="79"/>
      <c r="G253" s="79"/>
      <c r="H253" s="79"/>
      <c r="I253" s="79"/>
      <c r="J253" s="79"/>
      <c r="K253" s="402"/>
      <c r="L253" s="478"/>
      <c r="M253" s="479"/>
      <c r="N253" s="479"/>
      <c r="O253" s="479"/>
      <c r="P253" s="480"/>
      <c r="Q253" s="219"/>
      <c r="R253" s="85"/>
      <c r="S253" s="85"/>
      <c r="T253" s="85"/>
      <c r="U253" s="51"/>
    </row>
    <row r="254" spans="1:21" x14ac:dyDescent="0.25">
      <c r="A254" s="240" t="s">
        <v>659</v>
      </c>
      <c r="B254" s="216" t="s">
        <v>660</v>
      </c>
      <c r="C254" s="376"/>
      <c r="D254" s="376"/>
      <c r="E254" s="376"/>
      <c r="F254" s="376"/>
      <c r="G254" s="376"/>
      <c r="H254" s="376"/>
      <c r="I254" s="376"/>
      <c r="J254" s="376"/>
      <c r="K254" s="373" t="s">
        <v>684</v>
      </c>
      <c r="L254" s="200"/>
      <c r="M254" s="384"/>
      <c r="N254" s="384"/>
      <c r="O254" s="384"/>
      <c r="P254" s="385"/>
      <c r="Q254" s="219"/>
      <c r="R254" s="85"/>
      <c r="S254" s="85"/>
      <c r="T254" s="85"/>
      <c r="U254" s="51"/>
    </row>
    <row r="255" spans="1:21" x14ac:dyDescent="0.25">
      <c r="A255" s="242"/>
      <c r="B255" s="168" t="s">
        <v>661</v>
      </c>
      <c r="C255" s="79"/>
      <c r="D255" s="79"/>
      <c r="E255" s="79"/>
      <c r="F255" s="79"/>
      <c r="G255" s="79"/>
      <c r="H255" s="79"/>
      <c r="I255" s="79"/>
      <c r="J255" s="79"/>
      <c r="K255" s="374" t="s">
        <v>662</v>
      </c>
      <c r="L255" s="478"/>
      <c r="M255" s="479"/>
      <c r="N255" s="479"/>
      <c r="O255" s="479"/>
      <c r="P255" s="480"/>
      <c r="Q255" s="219"/>
      <c r="R255" s="85"/>
      <c r="S255" s="85"/>
      <c r="T255" s="85"/>
      <c r="U255" s="51"/>
    </row>
    <row r="256" spans="1:21" x14ac:dyDescent="0.25">
      <c r="A256" s="23"/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</row>
    <row r="257" spans="1:33" x14ac:dyDescent="0.25">
      <c r="A257" s="53" t="s">
        <v>310</v>
      </c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4"/>
      <c r="M257" s="54"/>
      <c r="N257" s="54"/>
      <c r="O257" s="54"/>
      <c r="P257" s="54"/>
      <c r="Q257" s="51"/>
      <c r="R257" s="51"/>
      <c r="S257" s="51"/>
      <c r="T257" s="51"/>
      <c r="U257" s="51"/>
    </row>
    <row r="258" spans="1:33" x14ac:dyDescent="0.25">
      <c r="P258" s="51"/>
      <c r="Q258" s="51"/>
      <c r="R258" s="51"/>
      <c r="S258" s="51"/>
      <c r="T258" s="51"/>
      <c r="U258" s="51"/>
    </row>
    <row r="259" spans="1:33" x14ac:dyDescent="0.25">
      <c r="A259" s="122" t="str">
        <f>IF(Oplysningsside!$B$15="",1,Oplysningsside!$B$15)</f>
        <v>Bi-plan</v>
      </c>
      <c r="B259" s="258" t="s">
        <v>445</v>
      </c>
      <c r="C259" s="216"/>
      <c r="D259" s="216"/>
      <c r="E259" s="216"/>
      <c r="F259" s="216"/>
      <c r="G259" s="216"/>
      <c r="H259" s="237"/>
      <c r="I259" s="396"/>
      <c r="J259" s="335"/>
      <c r="K259" s="216"/>
      <c r="L259" s="216"/>
      <c r="M259" s="216"/>
      <c r="N259" s="217"/>
      <c r="O259" s="173"/>
      <c r="P259" s="195"/>
      <c r="Q259" s="51"/>
      <c r="AF259" s="173"/>
      <c r="AG259" s="195"/>
    </row>
    <row r="260" spans="1:33" x14ac:dyDescent="0.25">
      <c r="A260" s="106"/>
      <c r="B260" s="244" t="s">
        <v>245</v>
      </c>
      <c r="C260" s="215"/>
      <c r="D260" s="215"/>
      <c r="E260" s="215"/>
      <c r="F260" s="215"/>
      <c r="G260" s="215"/>
      <c r="H260" s="215"/>
      <c r="I260" s="106"/>
      <c r="J260" s="215" t="str">
        <f>IF($A$259="","",IF($A$259="Mini C bue","Ydre filter [mm Al]","Ydre filter [mm Cu]"))</f>
        <v>Ydre filter [mm Cu]</v>
      </c>
      <c r="K260" s="215"/>
      <c r="L260" s="215"/>
      <c r="M260" s="215"/>
      <c r="N260" s="226"/>
      <c r="O260" s="172"/>
      <c r="P260" s="193"/>
      <c r="AF260" s="172"/>
      <c r="AG260" s="193"/>
    </row>
    <row r="261" spans="1:33" x14ac:dyDescent="0.25">
      <c r="A261" s="106"/>
      <c r="B261" s="215" t="s">
        <v>605</v>
      </c>
      <c r="C261" s="215"/>
      <c r="D261" s="215"/>
      <c r="E261" s="215"/>
      <c r="F261" s="215"/>
      <c r="G261" s="215"/>
      <c r="H261" s="215"/>
      <c r="I261" s="340" t="s">
        <v>562</v>
      </c>
      <c r="J261" s="300" t="s">
        <v>564</v>
      </c>
      <c r="K261" s="215"/>
      <c r="L261" s="215"/>
      <c r="M261" s="215"/>
      <c r="N261" s="226"/>
      <c r="O261" s="196"/>
      <c r="P261" s="193"/>
      <c r="AF261" s="196"/>
      <c r="AG261" s="193"/>
    </row>
    <row r="262" spans="1:33" x14ac:dyDescent="0.25">
      <c r="A262" s="106"/>
      <c r="B262" s="244" t="s">
        <v>262</v>
      </c>
      <c r="C262" s="215"/>
      <c r="D262" s="215"/>
      <c r="E262" s="215"/>
      <c r="F262" s="215"/>
      <c r="G262" s="215"/>
      <c r="H262" s="215"/>
      <c r="I262" s="106"/>
      <c r="J262" s="244" t="s">
        <v>455</v>
      </c>
      <c r="K262" s="215"/>
      <c r="L262" s="215"/>
      <c r="M262" s="215"/>
      <c r="N262" s="226"/>
      <c r="O262" s="196"/>
      <c r="P262" s="193"/>
      <c r="AF262" s="196"/>
      <c r="AG262" s="193"/>
    </row>
    <row r="263" spans="1:33" x14ac:dyDescent="0.25">
      <c r="A263" s="106"/>
      <c r="B263" s="244" t="s">
        <v>435</v>
      </c>
      <c r="C263" s="215"/>
      <c r="D263" s="215"/>
      <c r="E263" s="215"/>
      <c r="F263" s="215"/>
      <c r="G263" s="215"/>
      <c r="H263" s="215"/>
      <c r="I263" s="193"/>
      <c r="J263" s="219"/>
      <c r="K263" s="215"/>
      <c r="L263" s="215"/>
      <c r="M263" s="215"/>
      <c r="N263" s="226"/>
      <c r="O263" s="56" t="s">
        <v>97</v>
      </c>
      <c r="P263" s="193"/>
      <c r="AF263" s="56" t="s">
        <v>97</v>
      </c>
      <c r="AG263" s="193"/>
    </row>
    <row r="264" spans="1:33" x14ac:dyDescent="0.25">
      <c r="A264" s="106"/>
      <c r="B264" s="246" t="s">
        <v>128</v>
      </c>
      <c r="C264" s="215"/>
      <c r="D264" s="241"/>
      <c r="E264" s="215"/>
      <c r="F264" s="215"/>
      <c r="G264" s="215"/>
      <c r="H264" s="215"/>
      <c r="I264" s="193"/>
      <c r="K264" s="215"/>
      <c r="L264" s="215"/>
      <c r="M264" s="215"/>
      <c r="N264" s="226"/>
      <c r="O264" s="56" t="s">
        <v>98</v>
      </c>
      <c r="P264" s="193"/>
      <c r="AF264" s="56" t="s">
        <v>98</v>
      </c>
      <c r="AG264" s="193"/>
    </row>
    <row r="265" spans="1:33" x14ac:dyDescent="0.25">
      <c r="A265" s="221"/>
      <c r="B265" s="135"/>
      <c r="C265" s="215"/>
      <c r="D265" s="241"/>
      <c r="E265" s="215"/>
      <c r="F265" s="215"/>
      <c r="G265" s="215"/>
      <c r="H265" s="215"/>
      <c r="I265" s="193"/>
      <c r="J265" s="51"/>
      <c r="K265" s="215"/>
      <c r="L265" s="215"/>
      <c r="M265" s="215"/>
      <c r="N265" s="226"/>
      <c r="O265" s="56" t="s">
        <v>99</v>
      </c>
      <c r="P265" s="193"/>
      <c r="AF265" s="56" t="s">
        <v>99</v>
      </c>
      <c r="AG265" s="193"/>
    </row>
    <row r="266" spans="1:33" x14ac:dyDescent="0.25">
      <c r="A266" s="193"/>
      <c r="B266" s="215"/>
      <c r="C266" s="215"/>
      <c r="D266" s="241"/>
      <c r="E266" s="215"/>
      <c r="F266" s="215"/>
      <c r="G266" s="215"/>
      <c r="H266" s="215"/>
      <c r="I266" s="193"/>
      <c r="J266" s="51"/>
      <c r="K266" s="215"/>
      <c r="L266" s="215"/>
      <c r="M266" s="215"/>
      <c r="N266" s="226"/>
      <c r="O266" s="56" t="s">
        <v>115</v>
      </c>
      <c r="P266" s="193"/>
      <c r="AF266" s="56" t="s">
        <v>115</v>
      </c>
      <c r="AG266" s="193"/>
    </row>
    <row r="267" spans="1:33" x14ac:dyDescent="0.25">
      <c r="A267" s="223"/>
      <c r="B267" s="260" t="s">
        <v>457</v>
      </c>
      <c r="C267" s="168"/>
      <c r="D267" s="168"/>
      <c r="E267" s="168"/>
      <c r="F267" s="168"/>
      <c r="G267" s="168"/>
      <c r="H267" s="168"/>
      <c r="I267" s="197"/>
      <c r="J267" s="72"/>
      <c r="K267" s="168"/>
      <c r="L267" s="168"/>
      <c r="M267" s="168"/>
      <c r="N267" s="232"/>
      <c r="O267" s="71"/>
      <c r="P267" s="197"/>
      <c r="R267" s="23" t="s">
        <v>458</v>
      </c>
      <c r="AF267" s="71"/>
      <c r="AG267" s="197"/>
    </row>
    <row r="268" spans="1:33" x14ac:dyDescent="0.25">
      <c r="A268" s="55" t="s">
        <v>42</v>
      </c>
      <c r="B268" s="181" t="s">
        <v>56</v>
      </c>
      <c r="C268" s="182"/>
      <c r="D268" s="183"/>
      <c r="E268" s="55" t="s">
        <v>107</v>
      </c>
      <c r="F268" s="55" t="s">
        <v>46</v>
      </c>
      <c r="G268" s="56" t="s">
        <v>584</v>
      </c>
      <c r="H268" s="55" t="s">
        <v>53</v>
      </c>
      <c r="I268" s="55" t="s">
        <v>44</v>
      </c>
      <c r="J268" s="55" t="s">
        <v>45</v>
      </c>
      <c r="K268" s="55" t="s">
        <v>291</v>
      </c>
      <c r="L268" s="55" t="s">
        <v>291</v>
      </c>
      <c r="M268" s="55" t="s">
        <v>96</v>
      </c>
      <c r="N268" s="272" t="s">
        <v>61</v>
      </c>
      <c r="O268" s="55" t="s">
        <v>291</v>
      </c>
      <c r="P268" s="55" t="s">
        <v>362</v>
      </c>
      <c r="R268" s="55" t="s">
        <v>42</v>
      </c>
      <c r="S268" s="181" t="s">
        <v>56</v>
      </c>
      <c r="T268" s="182"/>
      <c r="U268" s="183"/>
      <c r="V268" s="55" t="s">
        <v>107</v>
      </c>
      <c r="W268" s="55" t="s">
        <v>46</v>
      </c>
      <c r="X268" s="55" t="s">
        <v>53</v>
      </c>
      <c r="Y268" s="55" t="s">
        <v>584</v>
      </c>
      <c r="Z268" s="55" t="s">
        <v>44</v>
      </c>
      <c r="AA268" s="55" t="s">
        <v>45</v>
      </c>
      <c r="AB268" s="55" t="s">
        <v>291</v>
      </c>
      <c r="AC268" s="55" t="s">
        <v>291</v>
      </c>
      <c r="AD268" s="55" t="s">
        <v>96</v>
      </c>
      <c r="AE268" s="272" t="s">
        <v>61</v>
      </c>
      <c r="AF268" s="55" t="s">
        <v>291</v>
      </c>
      <c r="AG268" s="55" t="s">
        <v>362</v>
      </c>
    </row>
    <row r="269" spans="1:33" x14ac:dyDescent="0.25">
      <c r="A269" s="56"/>
      <c r="B269" s="175" t="s">
        <v>43</v>
      </c>
      <c r="C269" s="47"/>
      <c r="D269" s="176"/>
      <c r="E269" s="56" t="s">
        <v>108</v>
      </c>
      <c r="F269" s="56" t="s">
        <v>48</v>
      </c>
      <c r="G269" s="56" t="s">
        <v>585</v>
      </c>
      <c r="H269" s="164" t="str">
        <f>IF($A$263="","",IF($A$263="rektangulær","kant/diagonal","diameter"))</f>
        <v/>
      </c>
      <c r="I269" s="56"/>
      <c r="J269" s="56"/>
      <c r="K269" s="164" t="str">
        <f>IF($I$262="","",$I$262)</f>
        <v/>
      </c>
      <c r="L269" s="164" t="s">
        <v>399</v>
      </c>
      <c r="M269" s="56" t="s">
        <v>117</v>
      </c>
      <c r="N269" s="164"/>
      <c r="O269" s="164" t="s">
        <v>399</v>
      </c>
      <c r="P269" s="56" t="s">
        <v>363</v>
      </c>
      <c r="R269" s="56"/>
      <c r="S269" s="175" t="s">
        <v>43</v>
      </c>
      <c r="T269" s="47"/>
      <c r="U269" s="176"/>
      <c r="V269" s="56" t="s">
        <v>108</v>
      </c>
      <c r="W269" s="56" t="s">
        <v>48</v>
      </c>
      <c r="X269" s="164" t="str">
        <f>IF($A$263="","",IF($A$263="rektangulær","kant/diagonal","diameter"))</f>
        <v/>
      </c>
      <c r="Y269" s="56" t="s">
        <v>585</v>
      </c>
      <c r="Z269" s="56"/>
      <c r="AA269" s="56"/>
      <c r="AB269" s="164" t="str">
        <f>IF($I$262="","",$I$262)</f>
        <v/>
      </c>
      <c r="AC269" s="164" t="s">
        <v>399</v>
      </c>
      <c r="AD269" s="56" t="s">
        <v>117</v>
      </c>
      <c r="AE269" s="164"/>
      <c r="AF269" s="164" t="str">
        <f>IF($I$262="","",$I$262)</f>
        <v/>
      </c>
      <c r="AG269" s="56" t="s">
        <v>363</v>
      </c>
    </row>
    <row r="270" spans="1:33" x14ac:dyDescent="0.25">
      <c r="A270" s="57"/>
      <c r="B270" s="177"/>
      <c r="C270" s="54"/>
      <c r="D270" s="178"/>
      <c r="E270" s="57"/>
      <c r="F270" s="57"/>
      <c r="G270" s="57"/>
      <c r="H270" s="57" t="s">
        <v>54</v>
      </c>
      <c r="I270" s="57"/>
      <c r="J270" s="57"/>
      <c r="K270" s="57" t="s">
        <v>57</v>
      </c>
      <c r="L270" s="57" t="s">
        <v>247</v>
      </c>
      <c r="M270" s="57" t="s">
        <v>52</v>
      </c>
      <c r="N270" s="273" t="s">
        <v>121</v>
      </c>
      <c r="O270" s="57" t="s">
        <v>99</v>
      </c>
      <c r="P270" s="57" t="s">
        <v>123</v>
      </c>
      <c r="R270" s="57"/>
      <c r="S270" s="177"/>
      <c r="T270" s="54"/>
      <c r="U270" s="178"/>
      <c r="V270" s="57"/>
      <c r="W270" s="57"/>
      <c r="X270" s="57" t="s">
        <v>54</v>
      </c>
      <c r="Y270" s="57"/>
      <c r="Z270" s="57"/>
      <c r="AA270" s="57"/>
      <c r="AB270" s="57" t="s">
        <v>57</v>
      </c>
      <c r="AC270" s="57" t="s">
        <v>247</v>
      </c>
      <c r="AD270" s="57" t="s">
        <v>52</v>
      </c>
      <c r="AE270" s="273" t="s">
        <v>121</v>
      </c>
      <c r="AF270" s="57" t="s">
        <v>99</v>
      </c>
      <c r="AG270" s="57" t="s">
        <v>123</v>
      </c>
    </row>
    <row r="271" spans="1:33" x14ac:dyDescent="0.25">
      <c r="A271" s="58">
        <v>1</v>
      </c>
      <c r="B271" s="417"/>
      <c r="C271" s="496"/>
      <c r="D271" s="418"/>
      <c r="E271" s="84"/>
      <c r="F271" s="84"/>
      <c r="G271" s="84"/>
      <c r="H271" s="84"/>
      <c r="I271" s="84"/>
      <c r="J271" s="84"/>
      <c r="K271" s="84"/>
      <c r="L271" s="255" t="str">
        <f>IF(OR($A$264="",$I$262="",K271=""),"",IF($A$264="SSD detektor",K271*VLOOKUP($I$262,Data!$L$56:$M$60,2,FALSE),K271/1.2*VLOOKUP($I$262,Data!$L$56:$M$64,2,FALSE)))</f>
        <v/>
      </c>
      <c r="M271" s="188" t="str">
        <f>IF(OR($A$264="",$I$262="",K271="",O271=""),"",ABS(L271/O271-1)*100)</f>
        <v/>
      </c>
      <c r="N271" s="58" t="str">
        <f>IF(OR($A$264="",$I$262="",K271="",O271=""),"",IF(M271&gt;25,"IKKE OK","OK"))</f>
        <v/>
      </c>
      <c r="O271" s="84"/>
      <c r="P271" s="84"/>
      <c r="R271" s="58">
        <v>1</v>
      </c>
      <c r="S271" s="417"/>
      <c r="T271" s="496"/>
      <c r="U271" s="418"/>
      <c r="V271" s="84"/>
      <c r="W271" s="84"/>
      <c r="X271" s="84"/>
      <c r="Y271" s="84"/>
      <c r="Z271" s="84"/>
      <c r="AA271" s="84"/>
      <c r="AB271" s="84"/>
      <c r="AC271" s="255" t="str">
        <f>IF(OR($A$264="",$I$262="",AB271=""),"",IF($A$264="SSD detektor",AB271*VLOOKUP($I$262,Data!$L$56:$M$60,2,FALSE),AB271/1.2*VLOOKUP($I$262,Data!$L$56:$M$64,2,FALSE)))</f>
        <v/>
      </c>
      <c r="AD271" s="188" t="str">
        <f>IF(OR($A$264="",$I$262="",AB271="",AF271=""),"",ABS(AC271/AF271-1)*100)</f>
        <v/>
      </c>
      <c r="AE271" s="58" t="str">
        <f>IF(OR($A$264="",$I$262="",AB271="",AF271=""),"",IF(AD271&gt;25,"IKKE OK","OK"))</f>
        <v/>
      </c>
      <c r="AF271" s="84"/>
      <c r="AG271" s="84"/>
    </row>
    <row r="272" spans="1:33" x14ac:dyDescent="0.25">
      <c r="A272" s="58">
        <v>2</v>
      </c>
      <c r="B272" s="417"/>
      <c r="C272" s="496"/>
      <c r="D272" s="418"/>
      <c r="E272" s="84"/>
      <c r="F272" s="84"/>
      <c r="G272" s="84"/>
      <c r="H272" s="84"/>
      <c r="I272" s="84"/>
      <c r="J272" s="84"/>
      <c r="K272" s="84"/>
      <c r="L272" s="255" t="str">
        <f>IF(OR($A$264="",$I$262="",K272=""),"",IF($A$264="SSD detektor",K272*VLOOKUP($I$262,Data!$L$56:$M$60,2,FALSE),K272/1.2*VLOOKUP($I$262,Data!$L$56:$M$64,2,FALSE)))</f>
        <v/>
      </c>
      <c r="M272" s="188" t="str">
        <f t="shared" ref="M272:M290" si="20">IF(OR($A$264="",$I$262="",K272="",O272=""),"",ABS(L272/O272-1)*100)</f>
        <v/>
      </c>
      <c r="N272" s="58" t="str">
        <f t="shared" ref="N272:N290" si="21">IF(OR($A$264="",$I$262="",K272="",O272=""),"",IF(M272&gt;25,"IKKE OK","OK"))</f>
        <v/>
      </c>
      <c r="O272" s="84"/>
      <c r="P272" s="84"/>
      <c r="R272" s="58">
        <v>2</v>
      </c>
      <c r="S272" s="417"/>
      <c r="T272" s="496"/>
      <c r="U272" s="418"/>
      <c r="V272" s="84"/>
      <c r="W272" s="84"/>
      <c r="X272" s="84"/>
      <c r="Y272" s="84"/>
      <c r="Z272" s="84"/>
      <c r="AA272" s="84"/>
      <c r="AB272" s="84"/>
      <c r="AC272" s="255" t="str">
        <f>IF(OR($A$264="",$I$262="",AB272=""),"",IF($A$264="SSD detektor",AB272*VLOOKUP($I$262,Data!$L$56:$M$60,2,FALSE),AB272/1.2*VLOOKUP($I$262,Data!$L$56:$M$64,2,FALSE)))</f>
        <v/>
      </c>
      <c r="AD272" s="188" t="str">
        <f t="shared" ref="AD272:AD290" si="22">IF(OR($A$264="",$I$262="",AB272="",AF272=""),"",ABS(AC272/AF272-1)*100)</f>
        <v/>
      </c>
      <c r="AE272" s="58" t="str">
        <f t="shared" ref="AE272:AE290" si="23">IF(OR($A$264="",$I$262="",AB272="",AF272=""),"",IF(AD272&gt;25,"IKKE OK","OK"))</f>
        <v/>
      </c>
      <c r="AF272" s="84"/>
      <c r="AG272" s="84"/>
    </row>
    <row r="273" spans="1:33" x14ac:dyDescent="0.25">
      <c r="A273" s="58">
        <v>3</v>
      </c>
      <c r="B273" s="417"/>
      <c r="C273" s="496"/>
      <c r="D273" s="418"/>
      <c r="E273" s="84"/>
      <c r="F273" s="84"/>
      <c r="G273" s="84"/>
      <c r="H273" s="84"/>
      <c r="I273" s="84"/>
      <c r="J273" s="84"/>
      <c r="K273" s="84"/>
      <c r="L273" s="255" t="str">
        <f>IF(OR($A$264="",$I$262="",K273=""),"",IF($A$264="SSD detektor",K273*VLOOKUP($I$262,Data!$L$56:$M$60,2,FALSE),K273/1.2*VLOOKUP($I$262,Data!$L$56:$M$64,2,FALSE)))</f>
        <v/>
      </c>
      <c r="M273" s="188" t="str">
        <f t="shared" si="20"/>
        <v/>
      </c>
      <c r="N273" s="58" t="str">
        <f t="shared" si="21"/>
        <v/>
      </c>
      <c r="O273" s="84"/>
      <c r="P273" s="84"/>
      <c r="R273" s="58">
        <v>3</v>
      </c>
      <c r="S273" s="417"/>
      <c r="T273" s="496"/>
      <c r="U273" s="418"/>
      <c r="V273" s="84"/>
      <c r="W273" s="84"/>
      <c r="X273" s="84"/>
      <c r="Y273" s="84"/>
      <c r="Z273" s="84"/>
      <c r="AA273" s="84"/>
      <c r="AB273" s="84"/>
      <c r="AC273" s="255" t="str">
        <f>IF(OR($A$264="",$I$262="",AB273=""),"",IF($A$264="SSD detektor",AB273*VLOOKUP($I$262,Data!$L$56:$M$60,2,FALSE),AB273/1.2*VLOOKUP($I$262,Data!$L$56:$M$64,2,FALSE)))</f>
        <v/>
      </c>
      <c r="AD273" s="188" t="str">
        <f t="shared" si="22"/>
        <v/>
      </c>
      <c r="AE273" s="58" t="str">
        <f t="shared" si="23"/>
        <v/>
      </c>
      <c r="AF273" s="84"/>
      <c r="AG273" s="84"/>
    </row>
    <row r="274" spans="1:33" x14ac:dyDescent="0.25">
      <c r="A274" s="58">
        <v>4</v>
      </c>
      <c r="B274" s="417"/>
      <c r="C274" s="496"/>
      <c r="D274" s="418"/>
      <c r="E274" s="84"/>
      <c r="F274" s="108"/>
      <c r="G274" s="108"/>
      <c r="H274" s="84"/>
      <c r="I274" s="84"/>
      <c r="J274" s="84"/>
      <c r="K274" s="84"/>
      <c r="L274" s="255" t="str">
        <f>IF(OR($A$264="",$I$262="",K274=""),"",IF($A$264="SSD detektor",K274*VLOOKUP($I$262,Data!$L$56:$M$60,2,FALSE),K274/1.2*VLOOKUP($I$262,Data!$L$56:$M$64,2,FALSE)))</f>
        <v/>
      </c>
      <c r="M274" s="188" t="str">
        <f t="shared" si="20"/>
        <v/>
      </c>
      <c r="N274" s="58" t="str">
        <f t="shared" si="21"/>
        <v/>
      </c>
      <c r="O274" s="84"/>
      <c r="P274" s="84"/>
      <c r="R274" s="58">
        <v>4</v>
      </c>
      <c r="S274" s="417"/>
      <c r="T274" s="496"/>
      <c r="U274" s="418"/>
      <c r="V274" s="84"/>
      <c r="W274" s="108"/>
      <c r="X274" s="84"/>
      <c r="Y274" s="84"/>
      <c r="Z274" s="84"/>
      <c r="AA274" s="84"/>
      <c r="AB274" s="84"/>
      <c r="AC274" s="255" t="str">
        <f>IF(OR($A$264="",$I$262="",AB274=""),"",IF($A$264="SSD detektor",AB274*VLOOKUP($I$262,Data!$L$56:$M$60,2,FALSE),AB274/1.2*VLOOKUP($I$262,Data!$L$56:$M$64,2,FALSE)))</f>
        <v/>
      </c>
      <c r="AD274" s="188" t="str">
        <f t="shared" si="22"/>
        <v/>
      </c>
      <c r="AE274" s="58" t="str">
        <f t="shared" si="23"/>
        <v/>
      </c>
      <c r="AF274" s="84"/>
      <c r="AG274" s="84"/>
    </row>
    <row r="275" spans="1:33" x14ac:dyDescent="0.25">
      <c r="A275" s="58">
        <v>5</v>
      </c>
      <c r="B275" s="417"/>
      <c r="C275" s="496"/>
      <c r="D275" s="418"/>
      <c r="E275" s="84"/>
      <c r="F275" s="84"/>
      <c r="G275" s="84"/>
      <c r="H275" s="84"/>
      <c r="I275" s="84"/>
      <c r="J275" s="84"/>
      <c r="K275" s="84"/>
      <c r="L275" s="255" t="str">
        <f>IF(OR($A$264="",$I$262="",K275=""),"",IF($A$264="SSD detektor",K275*VLOOKUP($I$262,Data!$L$56:$M$60,2,FALSE),K275/1.2*VLOOKUP($I$262,Data!$L$56:$M$64,2,FALSE)))</f>
        <v/>
      </c>
      <c r="M275" s="188" t="str">
        <f t="shared" si="20"/>
        <v/>
      </c>
      <c r="N275" s="58" t="str">
        <f t="shared" si="21"/>
        <v/>
      </c>
      <c r="O275" s="84"/>
      <c r="P275" s="84"/>
      <c r="R275" s="58">
        <v>5</v>
      </c>
      <c r="S275" s="417"/>
      <c r="T275" s="496"/>
      <c r="U275" s="418"/>
      <c r="V275" s="84"/>
      <c r="W275" s="84"/>
      <c r="X275" s="84"/>
      <c r="Y275" s="84"/>
      <c r="Z275" s="84"/>
      <c r="AA275" s="84"/>
      <c r="AB275" s="84"/>
      <c r="AC275" s="255" t="str">
        <f>IF(OR($A$264="",$I$262="",AB275=""),"",IF($A$264="SSD detektor",AB275*VLOOKUP($I$262,Data!$L$56:$M$60,2,FALSE),AB275/1.2*VLOOKUP($I$262,Data!$L$56:$M$64,2,FALSE)))</f>
        <v/>
      </c>
      <c r="AD275" s="188" t="str">
        <f t="shared" si="22"/>
        <v/>
      </c>
      <c r="AE275" s="58" t="str">
        <f t="shared" si="23"/>
        <v/>
      </c>
      <c r="AF275" s="84"/>
      <c r="AG275" s="84"/>
    </row>
    <row r="276" spans="1:33" x14ac:dyDescent="0.25">
      <c r="A276" s="58">
        <v>6</v>
      </c>
      <c r="B276" s="417"/>
      <c r="C276" s="496"/>
      <c r="D276" s="418"/>
      <c r="E276" s="84"/>
      <c r="F276" s="84"/>
      <c r="G276" s="84"/>
      <c r="H276" s="84"/>
      <c r="I276" s="84"/>
      <c r="J276" s="84"/>
      <c r="K276" s="84"/>
      <c r="L276" s="255" t="str">
        <f>IF(OR($A$264="",$I$262="",K276=""),"",IF($A$264="SSD detektor",K276*VLOOKUP($I$262,Data!$L$56:$M$60,2,FALSE),K276/1.2*VLOOKUP($I$262,Data!$L$56:$M$64,2,FALSE)))</f>
        <v/>
      </c>
      <c r="M276" s="188" t="str">
        <f t="shared" si="20"/>
        <v/>
      </c>
      <c r="N276" s="58" t="str">
        <f t="shared" si="21"/>
        <v/>
      </c>
      <c r="O276" s="84"/>
      <c r="P276" s="84"/>
      <c r="R276" s="58">
        <v>6</v>
      </c>
      <c r="S276" s="417"/>
      <c r="T276" s="496"/>
      <c r="U276" s="418"/>
      <c r="V276" s="84"/>
      <c r="W276" s="84"/>
      <c r="X276" s="84"/>
      <c r="Y276" s="84"/>
      <c r="Z276" s="84"/>
      <c r="AA276" s="84"/>
      <c r="AB276" s="84"/>
      <c r="AC276" s="255" t="str">
        <f>IF(OR($A$264="",$I$262="",AB276=""),"",IF($A$264="SSD detektor",AB276*VLOOKUP($I$262,Data!$L$56:$M$60,2,FALSE),AB276/1.2*VLOOKUP($I$262,Data!$L$56:$M$64,2,FALSE)))</f>
        <v/>
      </c>
      <c r="AD276" s="188" t="str">
        <f t="shared" si="22"/>
        <v/>
      </c>
      <c r="AE276" s="58" t="str">
        <f t="shared" si="23"/>
        <v/>
      </c>
      <c r="AF276" s="84"/>
      <c r="AG276" s="84"/>
    </row>
    <row r="277" spans="1:33" x14ac:dyDescent="0.25">
      <c r="A277" s="58">
        <v>7</v>
      </c>
      <c r="B277" s="417"/>
      <c r="C277" s="496"/>
      <c r="D277" s="418"/>
      <c r="E277" s="84"/>
      <c r="F277" s="84"/>
      <c r="G277" s="84"/>
      <c r="H277" s="84"/>
      <c r="I277" s="84"/>
      <c r="J277" s="84"/>
      <c r="K277" s="84"/>
      <c r="L277" s="255" t="str">
        <f>IF(OR($A$264="",$I$262="",K277=""),"",IF($A$264="SSD detektor",K277*VLOOKUP($I$262,Data!$L$56:$M$60,2,FALSE),K277/1.2*VLOOKUP($I$262,Data!$L$56:$M$64,2,FALSE)))</f>
        <v/>
      </c>
      <c r="M277" s="188" t="str">
        <f t="shared" si="20"/>
        <v/>
      </c>
      <c r="N277" s="58" t="str">
        <f t="shared" si="21"/>
        <v/>
      </c>
      <c r="O277" s="84"/>
      <c r="P277" s="84"/>
      <c r="R277" s="58">
        <v>7</v>
      </c>
      <c r="S277" s="417"/>
      <c r="T277" s="496"/>
      <c r="U277" s="418"/>
      <c r="V277" s="84"/>
      <c r="W277" s="84"/>
      <c r="X277" s="84"/>
      <c r="Y277" s="84"/>
      <c r="Z277" s="84"/>
      <c r="AA277" s="84"/>
      <c r="AB277" s="84"/>
      <c r="AC277" s="255" t="str">
        <f>IF(OR($A$264="",$I$262="",AB277=""),"",IF($A$264="SSD detektor",AB277*VLOOKUP($I$262,Data!$L$56:$M$60,2,FALSE),AB277/1.2*VLOOKUP($I$262,Data!$L$56:$M$64,2,FALSE)))</f>
        <v/>
      </c>
      <c r="AD277" s="188" t="str">
        <f t="shared" si="22"/>
        <v/>
      </c>
      <c r="AE277" s="58" t="str">
        <f t="shared" si="23"/>
        <v/>
      </c>
      <c r="AF277" s="84"/>
      <c r="AG277" s="84"/>
    </row>
    <row r="278" spans="1:33" x14ac:dyDescent="0.25">
      <c r="A278" s="58">
        <v>8</v>
      </c>
      <c r="B278" s="417"/>
      <c r="C278" s="496"/>
      <c r="D278" s="418"/>
      <c r="E278" s="84"/>
      <c r="F278" s="108"/>
      <c r="G278" s="108"/>
      <c r="H278" s="84"/>
      <c r="I278" s="84"/>
      <c r="J278" s="84"/>
      <c r="K278" s="84"/>
      <c r="L278" s="255" t="str">
        <f>IF(OR($A$264="",$I$262="",K278=""),"",IF($A$264="SSD detektor",K278*VLOOKUP($I$262,Data!$L$56:$M$60,2,FALSE),K278/1.2*VLOOKUP($I$262,Data!$L$56:$M$64,2,FALSE)))</f>
        <v/>
      </c>
      <c r="M278" s="188" t="str">
        <f t="shared" si="20"/>
        <v/>
      </c>
      <c r="N278" s="58" t="str">
        <f t="shared" si="21"/>
        <v/>
      </c>
      <c r="O278" s="84"/>
      <c r="P278" s="84"/>
      <c r="R278" s="58">
        <v>8</v>
      </c>
      <c r="S278" s="417"/>
      <c r="T278" s="496"/>
      <c r="U278" s="418"/>
      <c r="V278" s="84"/>
      <c r="W278" s="108"/>
      <c r="X278" s="84"/>
      <c r="Y278" s="84"/>
      <c r="Z278" s="84"/>
      <c r="AA278" s="84"/>
      <c r="AB278" s="84"/>
      <c r="AC278" s="255" t="str">
        <f>IF(OR($A$264="",$I$262="",AB278=""),"",IF($A$264="SSD detektor",AB278*VLOOKUP($I$262,Data!$L$56:$M$60,2,FALSE),AB278/1.2*VLOOKUP($I$262,Data!$L$56:$M$64,2,FALSE)))</f>
        <v/>
      </c>
      <c r="AD278" s="188" t="str">
        <f t="shared" si="22"/>
        <v/>
      </c>
      <c r="AE278" s="58" t="str">
        <f t="shared" si="23"/>
        <v/>
      </c>
      <c r="AF278" s="84"/>
      <c r="AG278" s="84"/>
    </row>
    <row r="279" spans="1:33" x14ac:dyDescent="0.25">
      <c r="A279" s="58">
        <v>9</v>
      </c>
      <c r="B279" s="417"/>
      <c r="C279" s="496"/>
      <c r="D279" s="418"/>
      <c r="E279" s="84"/>
      <c r="F279" s="108"/>
      <c r="G279" s="108"/>
      <c r="H279" s="84"/>
      <c r="I279" s="84"/>
      <c r="J279" s="84"/>
      <c r="K279" s="84"/>
      <c r="L279" s="255" t="str">
        <f>IF(OR($A$264="",$I$262="",K279=""),"",IF($A$264="SSD detektor",K279*VLOOKUP($I$262,Data!$L$56:$M$60,2,FALSE),K279/1.2*VLOOKUP($I$262,Data!$L$56:$M$64,2,FALSE)))</f>
        <v/>
      </c>
      <c r="M279" s="188" t="str">
        <f t="shared" si="20"/>
        <v/>
      </c>
      <c r="N279" s="58" t="str">
        <f t="shared" si="21"/>
        <v/>
      </c>
      <c r="O279" s="84"/>
      <c r="P279" s="84"/>
      <c r="R279" s="58">
        <v>9</v>
      </c>
      <c r="S279" s="417"/>
      <c r="T279" s="496"/>
      <c r="U279" s="418"/>
      <c r="V279" s="84"/>
      <c r="W279" s="108"/>
      <c r="X279" s="84"/>
      <c r="Y279" s="84"/>
      <c r="Z279" s="84"/>
      <c r="AA279" s="84"/>
      <c r="AB279" s="84"/>
      <c r="AC279" s="255" t="str">
        <f>IF(OR($A$264="",$I$262="",AB279=""),"",IF($A$264="SSD detektor",AB279*VLOOKUP($I$262,Data!$L$56:$M$60,2,FALSE),AB279/1.2*VLOOKUP($I$262,Data!$L$56:$M$64,2,FALSE)))</f>
        <v/>
      </c>
      <c r="AD279" s="188" t="str">
        <f t="shared" si="22"/>
        <v/>
      </c>
      <c r="AE279" s="58" t="str">
        <f t="shared" si="23"/>
        <v/>
      </c>
      <c r="AF279" s="84"/>
      <c r="AG279" s="84"/>
    </row>
    <row r="280" spans="1:33" x14ac:dyDescent="0.25">
      <c r="A280" s="58">
        <v>10</v>
      </c>
      <c r="B280" s="417"/>
      <c r="C280" s="496"/>
      <c r="D280" s="418"/>
      <c r="E280" s="84"/>
      <c r="F280" s="108"/>
      <c r="G280" s="108"/>
      <c r="H280" s="84"/>
      <c r="I280" s="84"/>
      <c r="J280" s="84"/>
      <c r="K280" s="84"/>
      <c r="L280" s="255" t="str">
        <f>IF(OR($A$264="",$I$262="",K280=""),"",IF($A$264="SSD detektor",K280*VLOOKUP($I$262,Data!$L$56:$M$60,2,FALSE),K280/1.2*VLOOKUP($I$262,Data!$L$56:$M$64,2,FALSE)))</f>
        <v/>
      </c>
      <c r="M280" s="188" t="str">
        <f t="shared" si="20"/>
        <v/>
      </c>
      <c r="N280" s="58" t="str">
        <f t="shared" si="21"/>
        <v/>
      </c>
      <c r="O280" s="84"/>
      <c r="P280" s="84"/>
      <c r="R280" s="58">
        <v>10</v>
      </c>
      <c r="S280" s="417"/>
      <c r="T280" s="496"/>
      <c r="U280" s="418"/>
      <c r="V280" s="84"/>
      <c r="W280" s="108"/>
      <c r="X280" s="84"/>
      <c r="Y280" s="84"/>
      <c r="Z280" s="84"/>
      <c r="AA280" s="84"/>
      <c r="AB280" s="84"/>
      <c r="AC280" s="255" t="str">
        <f>IF(OR($A$264="",$I$262="",AB280=""),"",IF($A$264="SSD detektor",AB280*VLOOKUP($I$262,Data!$L$56:$M$60,2,FALSE),AB280/1.2*VLOOKUP($I$262,Data!$L$56:$M$64,2,FALSE)))</f>
        <v/>
      </c>
      <c r="AD280" s="188" t="str">
        <f t="shared" si="22"/>
        <v/>
      </c>
      <c r="AE280" s="58" t="str">
        <f t="shared" si="23"/>
        <v/>
      </c>
      <c r="AF280" s="84"/>
      <c r="AG280" s="84"/>
    </row>
    <row r="281" spans="1:33" x14ac:dyDescent="0.25">
      <c r="A281" s="58">
        <v>11</v>
      </c>
      <c r="B281" s="417"/>
      <c r="C281" s="496"/>
      <c r="D281" s="418"/>
      <c r="E281" s="84"/>
      <c r="F281" s="84"/>
      <c r="G281" s="84"/>
      <c r="H281" s="84"/>
      <c r="I281" s="84"/>
      <c r="J281" s="84"/>
      <c r="K281" s="84"/>
      <c r="L281" s="255" t="str">
        <f>IF(OR($A$264="",$I$262="",K281=""),"",IF($A$264="SSD detektor",K281*VLOOKUP($I$262,Data!$L$56:$M$60,2,FALSE),K281/1.2*VLOOKUP($I$262,Data!$L$56:$M$64,2,FALSE)))</f>
        <v/>
      </c>
      <c r="M281" s="188" t="str">
        <f t="shared" si="20"/>
        <v/>
      </c>
      <c r="N281" s="58" t="str">
        <f t="shared" si="21"/>
        <v/>
      </c>
      <c r="O281" s="84"/>
      <c r="P281" s="84"/>
      <c r="R281" s="58">
        <v>11</v>
      </c>
      <c r="S281" s="417"/>
      <c r="T281" s="496"/>
      <c r="U281" s="418"/>
      <c r="V281" s="84"/>
      <c r="W281" s="84"/>
      <c r="X281" s="84"/>
      <c r="Y281" s="84"/>
      <c r="Z281" s="84"/>
      <c r="AA281" s="84"/>
      <c r="AB281" s="84"/>
      <c r="AC281" s="255" t="str">
        <f>IF(OR($A$264="",$I$262="",AB281=""),"",IF($A$264="SSD detektor",AB281*VLOOKUP($I$262,Data!$L$56:$M$60,2,FALSE),AB281/1.2*VLOOKUP($I$262,Data!$L$56:$M$64,2,FALSE)))</f>
        <v/>
      </c>
      <c r="AD281" s="188" t="str">
        <f t="shared" si="22"/>
        <v/>
      </c>
      <c r="AE281" s="58" t="str">
        <f t="shared" si="23"/>
        <v/>
      </c>
      <c r="AF281" s="84"/>
      <c r="AG281" s="84"/>
    </row>
    <row r="282" spans="1:33" x14ac:dyDescent="0.25">
      <c r="A282" s="58">
        <v>12</v>
      </c>
      <c r="B282" s="417"/>
      <c r="C282" s="496"/>
      <c r="D282" s="418"/>
      <c r="E282" s="84"/>
      <c r="F282" s="84"/>
      <c r="G282" s="84"/>
      <c r="H282" s="84"/>
      <c r="I282" s="84"/>
      <c r="J282" s="84"/>
      <c r="K282" s="84"/>
      <c r="L282" s="255" t="str">
        <f>IF(OR($A$264="",$I$262="",K282=""),"",IF($A$264="SSD detektor",K282*VLOOKUP($I$262,Data!$L$56:$M$60,2,FALSE),K282/1.2*VLOOKUP($I$262,Data!$L$56:$M$64,2,FALSE)))</f>
        <v/>
      </c>
      <c r="M282" s="188" t="str">
        <f t="shared" si="20"/>
        <v/>
      </c>
      <c r="N282" s="58" t="str">
        <f t="shared" si="21"/>
        <v/>
      </c>
      <c r="O282" s="84"/>
      <c r="P282" s="84"/>
      <c r="R282" s="58">
        <v>12</v>
      </c>
      <c r="S282" s="417"/>
      <c r="T282" s="496"/>
      <c r="U282" s="418"/>
      <c r="V282" s="84"/>
      <c r="W282" s="84"/>
      <c r="X282" s="84"/>
      <c r="Y282" s="84"/>
      <c r="Z282" s="84"/>
      <c r="AA282" s="84"/>
      <c r="AB282" s="84"/>
      <c r="AC282" s="255" t="str">
        <f>IF(OR($A$264="",$I$262="",AB282=""),"",IF($A$264="SSD detektor",AB282*VLOOKUP($I$262,Data!$L$56:$M$60,2,FALSE),AB282/1.2*VLOOKUP($I$262,Data!$L$56:$M$64,2,FALSE)))</f>
        <v/>
      </c>
      <c r="AD282" s="188" t="str">
        <f t="shared" si="22"/>
        <v/>
      </c>
      <c r="AE282" s="58" t="str">
        <f t="shared" si="23"/>
        <v/>
      </c>
      <c r="AF282" s="84"/>
      <c r="AG282" s="84"/>
    </row>
    <row r="283" spans="1:33" x14ac:dyDescent="0.25">
      <c r="A283" s="58">
        <v>13</v>
      </c>
      <c r="B283" s="417"/>
      <c r="C283" s="496"/>
      <c r="D283" s="418"/>
      <c r="E283" s="84"/>
      <c r="F283" s="84"/>
      <c r="G283" s="84"/>
      <c r="H283" s="84"/>
      <c r="I283" s="84"/>
      <c r="J283" s="84"/>
      <c r="K283" s="84"/>
      <c r="L283" s="255" t="str">
        <f>IF(OR($A$264="",$I$262="",K283=""),"",IF($A$264="SSD detektor",K283*VLOOKUP($I$262,Data!$L$56:$M$60,2,FALSE),K283/1.2*VLOOKUP($I$262,Data!$L$56:$M$64,2,FALSE)))</f>
        <v/>
      </c>
      <c r="M283" s="188" t="str">
        <f t="shared" si="20"/>
        <v/>
      </c>
      <c r="N283" s="58" t="str">
        <f t="shared" si="21"/>
        <v/>
      </c>
      <c r="O283" s="84"/>
      <c r="P283" s="84"/>
      <c r="R283" s="58">
        <v>13</v>
      </c>
      <c r="S283" s="417"/>
      <c r="T283" s="496"/>
      <c r="U283" s="418"/>
      <c r="V283" s="84"/>
      <c r="W283" s="84"/>
      <c r="X283" s="84"/>
      <c r="Y283" s="84"/>
      <c r="Z283" s="84"/>
      <c r="AA283" s="84"/>
      <c r="AB283" s="84"/>
      <c r="AC283" s="255" t="str">
        <f>IF(OR($A$264="",$I$262="",AB283=""),"",IF($A$264="SSD detektor",AB283*VLOOKUP($I$262,Data!$L$56:$M$60,2,FALSE),AB283/1.2*VLOOKUP($I$262,Data!$L$56:$M$64,2,FALSE)))</f>
        <v/>
      </c>
      <c r="AD283" s="188" t="str">
        <f t="shared" si="22"/>
        <v/>
      </c>
      <c r="AE283" s="58" t="str">
        <f t="shared" si="23"/>
        <v/>
      </c>
      <c r="AF283" s="84"/>
      <c r="AG283" s="84"/>
    </row>
    <row r="284" spans="1:33" x14ac:dyDescent="0.25">
      <c r="A284" s="58">
        <v>14</v>
      </c>
      <c r="B284" s="417"/>
      <c r="C284" s="496"/>
      <c r="D284" s="418"/>
      <c r="E284" s="105"/>
      <c r="F284" s="105"/>
      <c r="G284" s="105"/>
      <c r="H284" s="105"/>
      <c r="I284" s="105"/>
      <c r="J284" s="105"/>
      <c r="K284" s="105"/>
      <c r="L284" s="255" t="str">
        <f>IF(OR($A$264="",$I$262="",K284=""),"",IF($A$264="SSD detektor",K284*VLOOKUP($I$262,Data!$L$56:$M$60,2,FALSE),K284/1.2*VLOOKUP($I$262,Data!$L$56:$M$64,2,FALSE)))</f>
        <v/>
      </c>
      <c r="M284" s="188" t="str">
        <f t="shared" si="20"/>
        <v/>
      </c>
      <c r="N284" s="58" t="str">
        <f t="shared" si="21"/>
        <v/>
      </c>
      <c r="O284" s="105"/>
      <c r="P284" s="84"/>
      <c r="R284" s="58">
        <v>14</v>
      </c>
      <c r="S284" s="417"/>
      <c r="T284" s="496"/>
      <c r="U284" s="418"/>
      <c r="V284" s="105"/>
      <c r="W284" s="105"/>
      <c r="X284" s="105"/>
      <c r="Y284" s="105"/>
      <c r="Z284" s="105"/>
      <c r="AA284" s="105"/>
      <c r="AB284" s="105"/>
      <c r="AC284" s="255" t="str">
        <f>IF(OR($A$264="",$I$262="",AB284=""),"",IF($A$264="SSD detektor",AB284*VLOOKUP($I$262,Data!$L$56:$M$60,2,FALSE),AB284/1.2*VLOOKUP($I$262,Data!$L$56:$M$64,2,FALSE)))</f>
        <v/>
      </c>
      <c r="AD284" s="188" t="str">
        <f t="shared" si="22"/>
        <v/>
      </c>
      <c r="AE284" s="58" t="str">
        <f t="shared" si="23"/>
        <v/>
      </c>
      <c r="AF284" s="105"/>
      <c r="AG284" s="84"/>
    </row>
    <row r="285" spans="1:33" x14ac:dyDescent="0.25">
      <c r="A285" s="58">
        <v>15</v>
      </c>
      <c r="B285" s="417"/>
      <c r="C285" s="496"/>
      <c r="D285" s="418"/>
      <c r="E285" s="105"/>
      <c r="F285" s="105"/>
      <c r="G285" s="105"/>
      <c r="H285" s="105"/>
      <c r="I285" s="105"/>
      <c r="J285" s="105"/>
      <c r="K285" s="105"/>
      <c r="L285" s="255" t="str">
        <f>IF(OR($A$264="",$I$262="",K285=""),"",IF($A$264="SSD detektor",K285*VLOOKUP($I$262,Data!$L$56:$M$60,2,FALSE),K285/1.2*VLOOKUP($I$262,Data!$L$56:$M$64,2,FALSE)))</f>
        <v/>
      </c>
      <c r="M285" s="188" t="str">
        <f t="shared" si="20"/>
        <v/>
      </c>
      <c r="N285" s="58" t="str">
        <f t="shared" si="21"/>
        <v/>
      </c>
      <c r="O285" s="105"/>
      <c r="P285" s="84"/>
      <c r="R285" s="58">
        <v>15</v>
      </c>
      <c r="S285" s="417"/>
      <c r="T285" s="496"/>
      <c r="U285" s="418"/>
      <c r="V285" s="105"/>
      <c r="W285" s="105"/>
      <c r="X285" s="105"/>
      <c r="Y285" s="105"/>
      <c r="Z285" s="105"/>
      <c r="AA285" s="105"/>
      <c r="AB285" s="105"/>
      <c r="AC285" s="255" t="str">
        <f>IF(OR($A$264="",$I$262="",AB285=""),"",IF($A$264="SSD detektor",AB285*VLOOKUP($I$262,Data!$L$56:$M$60,2,FALSE),AB285/1.2*VLOOKUP($I$262,Data!$L$56:$M$64,2,FALSE)))</f>
        <v/>
      </c>
      <c r="AD285" s="188" t="str">
        <f t="shared" si="22"/>
        <v/>
      </c>
      <c r="AE285" s="58" t="str">
        <f t="shared" si="23"/>
        <v/>
      </c>
      <c r="AF285" s="105"/>
      <c r="AG285" s="84"/>
    </row>
    <row r="286" spans="1:33" x14ac:dyDescent="0.25">
      <c r="A286" s="58">
        <v>16</v>
      </c>
      <c r="B286" s="417"/>
      <c r="C286" s="496"/>
      <c r="D286" s="418"/>
      <c r="E286" s="105"/>
      <c r="F286" s="105"/>
      <c r="G286" s="105"/>
      <c r="H286" s="105"/>
      <c r="I286" s="105"/>
      <c r="J286" s="105"/>
      <c r="K286" s="105"/>
      <c r="L286" s="255" t="str">
        <f>IF(OR($A$264="",$I$262="",K286=""),"",IF($A$264="SSD detektor",K286*VLOOKUP($I$262,Data!$L$56:$M$60,2,FALSE),K286/1.2*VLOOKUP($I$262,Data!$L$56:$M$64,2,FALSE)))</f>
        <v/>
      </c>
      <c r="M286" s="188" t="str">
        <f t="shared" si="20"/>
        <v/>
      </c>
      <c r="N286" s="58" t="str">
        <f t="shared" si="21"/>
        <v/>
      </c>
      <c r="O286" s="105"/>
      <c r="P286" s="84"/>
      <c r="R286" s="58">
        <v>16</v>
      </c>
      <c r="S286" s="417"/>
      <c r="T286" s="496"/>
      <c r="U286" s="418"/>
      <c r="V286" s="105"/>
      <c r="W286" s="105"/>
      <c r="X286" s="105"/>
      <c r="Y286" s="105"/>
      <c r="Z286" s="105"/>
      <c r="AA286" s="105"/>
      <c r="AB286" s="105"/>
      <c r="AC286" s="255" t="str">
        <f>IF(OR($A$264="",$I$262="",AB286=""),"",IF($A$264="SSD detektor",AB286*VLOOKUP($I$262,Data!$L$56:$M$60,2,FALSE),AB286/1.2*VLOOKUP($I$262,Data!$L$56:$M$64,2,FALSE)))</f>
        <v/>
      </c>
      <c r="AD286" s="188" t="str">
        <f t="shared" si="22"/>
        <v/>
      </c>
      <c r="AE286" s="58" t="str">
        <f t="shared" si="23"/>
        <v/>
      </c>
      <c r="AF286" s="105"/>
      <c r="AG286" s="84"/>
    </row>
    <row r="287" spans="1:33" x14ac:dyDescent="0.25">
      <c r="A287" s="58">
        <v>17</v>
      </c>
      <c r="B287" s="417"/>
      <c r="C287" s="496"/>
      <c r="D287" s="418"/>
      <c r="E287" s="105"/>
      <c r="F287" s="105"/>
      <c r="G287" s="105"/>
      <c r="H287" s="105"/>
      <c r="I287" s="105"/>
      <c r="J287" s="105"/>
      <c r="K287" s="105"/>
      <c r="L287" s="255" t="str">
        <f>IF(OR($A$264="",$I$262="",K287=""),"",IF($A$264="SSD detektor",K287*VLOOKUP($I$262,Data!$L$56:$M$60,2,FALSE),K287/1.2*VLOOKUP($I$262,Data!$L$56:$M$64,2,FALSE)))</f>
        <v/>
      </c>
      <c r="M287" s="188" t="str">
        <f t="shared" si="20"/>
        <v/>
      </c>
      <c r="N287" s="58" t="str">
        <f t="shared" si="21"/>
        <v/>
      </c>
      <c r="O287" s="105"/>
      <c r="P287" s="84"/>
      <c r="R287" s="58">
        <v>17</v>
      </c>
      <c r="S287" s="417"/>
      <c r="T287" s="496"/>
      <c r="U287" s="418"/>
      <c r="V287" s="105"/>
      <c r="W287" s="105"/>
      <c r="X287" s="105"/>
      <c r="Y287" s="105"/>
      <c r="Z287" s="105"/>
      <c r="AA287" s="105"/>
      <c r="AB287" s="105"/>
      <c r="AC287" s="255" t="str">
        <f>IF(OR($A$264="",$I$262="",AB287=""),"",IF($A$264="SSD detektor",AB287*VLOOKUP($I$262,Data!$L$56:$M$60,2,FALSE),AB287/1.2*VLOOKUP($I$262,Data!$L$56:$M$64,2,FALSE)))</f>
        <v/>
      </c>
      <c r="AD287" s="188" t="str">
        <f t="shared" si="22"/>
        <v/>
      </c>
      <c r="AE287" s="58" t="str">
        <f t="shared" si="23"/>
        <v/>
      </c>
      <c r="AF287" s="105"/>
      <c r="AG287" s="84"/>
    </row>
    <row r="288" spans="1:33" x14ac:dyDescent="0.25">
      <c r="A288" s="58">
        <v>18</v>
      </c>
      <c r="B288" s="417"/>
      <c r="C288" s="496"/>
      <c r="D288" s="418"/>
      <c r="E288" s="105"/>
      <c r="F288" s="105"/>
      <c r="G288" s="105"/>
      <c r="H288" s="105"/>
      <c r="I288" s="105"/>
      <c r="J288" s="105"/>
      <c r="K288" s="105"/>
      <c r="L288" s="255" t="str">
        <f>IF(OR($A$264="",$I$262="",K288=""),"",IF($A$264="SSD detektor",K288*VLOOKUP($I$262,Data!$L$56:$M$60,2,FALSE),K288/1.2*VLOOKUP($I$262,Data!$L$56:$M$64,2,FALSE)))</f>
        <v/>
      </c>
      <c r="M288" s="188" t="str">
        <f t="shared" si="20"/>
        <v/>
      </c>
      <c r="N288" s="58" t="str">
        <f t="shared" si="21"/>
        <v/>
      </c>
      <c r="O288" s="105"/>
      <c r="P288" s="84"/>
      <c r="R288" s="58">
        <v>18</v>
      </c>
      <c r="S288" s="417"/>
      <c r="T288" s="496"/>
      <c r="U288" s="418"/>
      <c r="V288" s="105"/>
      <c r="W288" s="105"/>
      <c r="X288" s="105"/>
      <c r="Y288" s="105"/>
      <c r="Z288" s="105"/>
      <c r="AA288" s="105"/>
      <c r="AB288" s="105"/>
      <c r="AC288" s="255" t="str">
        <f>IF(OR($A$264="",$I$262="",AB288=""),"",IF($A$264="SSD detektor",AB288*VLOOKUP($I$262,Data!$L$56:$M$60,2,FALSE),AB288/1.2*VLOOKUP($I$262,Data!$L$56:$M$64,2,FALSE)))</f>
        <v/>
      </c>
      <c r="AD288" s="188" t="str">
        <f t="shared" si="22"/>
        <v/>
      </c>
      <c r="AE288" s="58" t="str">
        <f t="shared" si="23"/>
        <v/>
      </c>
      <c r="AF288" s="105"/>
      <c r="AG288" s="84"/>
    </row>
    <row r="289" spans="1:33" x14ac:dyDescent="0.25">
      <c r="A289" s="58">
        <v>19</v>
      </c>
      <c r="B289" s="417"/>
      <c r="C289" s="496"/>
      <c r="D289" s="418"/>
      <c r="E289" s="105"/>
      <c r="F289" s="105"/>
      <c r="G289" s="105"/>
      <c r="H289" s="105"/>
      <c r="I289" s="105"/>
      <c r="J289" s="105"/>
      <c r="K289" s="105"/>
      <c r="L289" s="255" t="str">
        <f>IF(OR($A$264="",$I$262="",K289=""),"",IF($A$264="SSD detektor",K289*VLOOKUP($I$262,Data!$L$56:$M$60,2,FALSE),K289/1.2*VLOOKUP($I$262,Data!$L$56:$M$64,2,FALSE)))</f>
        <v/>
      </c>
      <c r="M289" s="188" t="str">
        <f t="shared" si="20"/>
        <v/>
      </c>
      <c r="N289" s="58" t="str">
        <f t="shared" si="21"/>
        <v/>
      </c>
      <c r="O289" s="105"/>
      <c r="P289" s="84"/>
      <c r="R289" s="58">
        <v>19</v>
      </c>
      <c r="S289" s="417"/>
      <c r="T289" s="496"/>
      <c r="U289" s="418"/>
      <c r="V289" s="105"/>
      <c r="W289" s="105"/>
      <c r="X289" s="105"/>
      <c r="Y289" s="105"/>
      <c r="Z289" s="105"/>
      <c r="AA289" s="105"/>
      <c r="AB289" s="105"/>
      <c r="AC289" s="255" t="str">
        <f>IF(OR($A$264="",$I$262="",AB289=""),"",IF($A$264="SSD detektor",AB289*VLOOKUP($I$262,Data!$L$56:$M$60,2,FALSE),AB289/1.2*VLOOKUP($I$262,Data!$L$56:$M$64,2,FALSE)))</f>
        <v/>
      </c>
      <c r="AD289" s="188" t="str">
        <f t="shared" si="22"/>
        <v/>
      </c>
      <c r="AE289" s="58" t="str">
        <f t="shared" si="23"/>
        <v/>
      </c>
      <c r="AF289" s="105"/>
      <c r="AG289" s="84"/>
    </row>
    <row r="290" spans="1:33" x14ac:dyDescent="0.25">
      <c r="A290" s="58">
        <v>20</v>
      </c>
      <c r="B290" s="417"/>
      <c r="C290" s="496"/>
      <c r="D290" s="418"/>
      <c r="E290" s="105"/>
      <c r="F290" s="105"/>
      <c r="G290" s="105"/>
      <c r="H290" s="105"/>
      <c r="I290" s="105"/>
      <c r="J290" s="105"/>
      <c r="K290" s="105"/>
      <c r="L290" s="255" t="str">
        <f>IF(OR($A$264="",$I$262="",K290=""),"",IF($A$264="SSD detektor",K290*VLOOKUP($I$262,Data!$L$56:$M$60,2,FALSE),K290/1.2*VLOOKUP($I$262,Data!$L$56:$M$64,2,FALSE)))</f>
        <v/>
      </c>
      <c r="M290" s="188" t="str">
        <f t="shared" si="20"/>
        <v/>
      </c>
      <c r="N290" s="58" t="str">
        <f t="shared" si="21"/>
        <v/>
      </c>
      <c r="O290" s="105"/>
      <c r="P290" s="84"/>
      <c r="R290" s="58">
        <v>20</v>
      </c>
      <c r="S290" s="417"/>
      <c r="T290" s="496"/>
      <c r="U290" s="418"/>
      <c r="V290" s="105"/>
      <c r="W290" s="105"/>
      <c r="X290" s="105"/>
      <c r="Y290" s="105"/>
      <c r="Z290" s="105"/>
      <c r="AA290" s="105"/>
      <c r="AB290" s="105"/>
      <c r="AC290" s="255" t="str">
        <f>IF(OR($A$264="",$I$262="",AB290=""),"",IF($A$264="SSD detektor",AB290*VLOOKUP($I$262,Data!$L$56:$M$60,2,FALSE),AB290/1.2*VLOOKUP($I$262,Data!$L$56:$M$64,2,FALSE)))</f>
        <v/>
      </c>
      <c r="AD290" s="188" t="str">
        <f t="shared" si="22"/>
        <v/>
      </c>
      <c r="AE290" s="58" t="str">
        <f t="shared" si="23"/>
        <v/>
      </c>
      <c r="AF290" s="105"/>
      <c r="AG290" s="84"/>
    </row>
    <row r="291" spans="1:33" x14ac:dyDescent="0.25">
      <c r="A291" s="55" t="s">
        <v>42</v>
      </c>
      <c r="B291" s="181" t="s">
        <v>500</v>
      </c>
      <c r="C291" s="182"/>
      <c r="D291" s="183"/>
      <c r="E291" s="55" t="s">
        <v>107</v>
      </c>
      <c r="F291" s="55" t="s">
        <v>290</v>
      </c>
      <c r="G291" s="55" t="s">
        <v>584</v>
      </c>
      <c r="H291" s="55" t="s">
        <v>53</v>
      </c>
      <c r="I291" s="55" t="s">
        <v>44</v>
      </c>
      <c r="J291" s="55" t="s">
        <v>45</v>
      </c>
      <c r="K291" s="55" t="s">
        <v>291</v>
      </c>
      <c r="L291" s="55" t="s">
        <v>291</v>
      </c>
      <c r="M291" s="55" t="s">
        <v>51</v>
      </c>
      <c r="N291" s="55" t="s">
        <v>51</v>
      </c>
      <c r="O291" s="55" t="s">
        <v>291</v>
      </c>
      <c r="P291" s="55" t="s">
        <v>362</v>
      </c>
      <c r="R291" s="55" t="s">
        <v>42</v>
      </c>
      <c r="S291" s="181" t="s">
        <v>500</v>
      </c>
      <c r="T291" s="182"/>
      <c r="U291" s="183"/>
      <c r="V291" s="55" t="s">
        <v>107</v>
      </c>
      <c r="W291" s="55" t="s">
        <v>290</v>
      </c>
      <c r="X291" s="55" t="s">
        <v>53</v>
      </c>
      <c r="Y291" s="55" t="s">
        <v>584</v>
      </c>
      <c r="Z291" s="55" t="s">
        <v>44</v>
      </c>
      <c r="AA291" s="55" t="s">
        <v>45</v>
      </c>
      <c r="AB291" s="55" t="s">
        <v>291</v>
      </c>
      <c r="AC291" s="55" t="s">
        <v>291</v>
      </c>
      <c r="AD291" s="55" t="s">
        <v>51</v>
      </c>
      <c r="AE291" s="55" t="s">
        <v>51</v>
      </c>
      <c r="AF291" s="55" t="s">
        <v>291</v>
      </c>
      <c r="AG291" s="55" t="s">
        <v>362</v>
      </c>
    </row>
    <row r="292" spans="1:33" x14ac:dyDescent="0.25">
      <c r="A292" s="56"/>
      <c r="B292" s="175" t="s">
        <v>43</v>
      </c>
      <c r="C292" s="47"/>
      <c r="D292" s="176"/>
      <c r="E292" s="56" t="s">
        <v>108</v>
      </c>
      <c r="F292" s="56" t="s">
        <v>49</v>
      </c>
      <c r="G292" s="56" t="s">
        <v>585</v>
      </c>
      <c r="H292" s="56" t="str">
        <f>IF($A$263="","",IF($A$263="rektangulær","kant/diagonal","diameter"))</f>
        <v/>
      </c>
      <c r="I292" s="56"/>
      <c r="J292" s="56"/>
      <c r="K292" s="164" t="str">
        <f>IF($I$262="","",$I$262)</f>
        <v/>
      </c>
      <c r="L292" s="164" t="s">
        <v>399</v>
      </c>
      <c r="M292" s="56" t="s">
        <v>52</v>
      </c>
      <c r="N292" s="56" t="s">
        <v>52</v>
      </c>
      <c r="O292" s="164" t="s">
        <v>399</v>
      </c>
      <c r="P292" s="56" t="s">
        <v>363</v>
      </c>
      <c r="R292" s="56"/>
      <c r="S292" s="175" t="s">
        <v>43</v>
      </c>
      <c r="T292" s="47"/>
      <c r="U292" s="176"/>
      <c r="V292" s="56" t="s">
        <v>108</v>
      </c>
      <c r="W292" s="56" t="s">
        <v>49</v>
      </c>
      <c r="X292" s="56" t="str">
        <f>IF($A$263="","",IF($A$263="rektangulær","kant/diagonal","diameter"))</f>
        <v/>
      </c>
      <c r="Y292" s="56" t="s">
        <v>585</v>
      </c>
      <c r="Z292" s="56"/>
      <c r="AA292" s="56"/>
      <c r="AB292" s="164" t="str">
        <f>IF($I$262="","",$I$262)</f>
        <v/>
      </c>
      <c r="AC292" s="164" t="s">
        <v>399</v>
      </c>
      <c r="AD292" s="56" t="s">
        <v>52</v>
      </c>
      <c r="AE292" s="56" t="s">
        <v>52</v>
      </c>
      <c r="AF292" s="164" t="str">
        <f>IF($I$262="","",$I$262)</f>
        <v/>
      </c>
      <c r="AG292" s="56" t="s">
        <v>363</v>
      </c>
    </row>
    <row r="293" spans="1:33" x14ac:dyDescent="0.25">
      <c r="A293" s="57"/>
      <c r="B293" s="177"/>
      <c r="C293" s="54"/>
      <c r="D293" s="178"/>
      <c r="E293" s="57"/>
      <c r="F293" s="57"/>
      <c r="G293" s="57"/>
      <c r="H293" s="57" t="s">
        <v>54</v>
      </c>
      <c r="I293" s="57"/>
      <c r="J293" s="57"/>
      <c r="K293" s="57" t="s">
        <v>57</v>
      </c>
      <c r="L293" s="57" t="s">
        <v>247</v>
      </c>
      <c r="M293" s="57"/>
      <c r="N293" s="57"/>
      <c r="O293" s="57" t="s">
        <v>99</v>
      </c>
      <c r="P293" s="57" t="s">
        <v>123</v>
      </c>
      <c r="R293" s="57"/>
      <c r="S293" s="177"/>
      <c r="T293" s="54"/>
      <c r="U293" s="178"/>
      <c r="V293" s="57"/>
      <c r="W293" s="57"/>
      <c r="X293" s="57" t="s">
        <v>54</v>
      </c>
      <c r="Y293" s="57"/>
      <c r="Z293" s="57"/>
      <c r="AA293" s="57"/>
      <c r="AB293" s="57" t="s">
        <v>57</v>
      </c>
      <c r="AC293" s="57" t="s">
        <v>247</v>
      </c>
      <c r="AD293" s="57"/>
      <c r="AE293" s="57"/>
      <c r="AF293" s="57" t="s">
        <v>99</v>
      </c>
      <c r="AG293" s="57" t="s">
        <v>123</v>
      </c>
    </row>
    <row r="294" spans="1:33" x14ac:dyDescent="0.25">
      <c r="A294" s="58">
        <v>1</v>
      </c>
      <c r="B294" s="417"/>
      <c r="C294" s="496"/>
      <c r="D294" s="418"/>
      <c r="E294" s="84"/>
      <c r="F294" s="84"/>
      <c r="G294" s="84"/>
      <c r="H294" s="84"/>
      <c r="I294" s="84"/>
      <c r="J294" s="84"/>
      <c r="K294" s="84"/>
      <c r="L294" s="255" t="str">
        <f>IF(OR($A$264="",$I$262="",K294=""),"",IF($A$264="SSD detektor",K294*VLOOKUP($I$262,Data!$L$56:$M$60,2,FALSE),K294/1.2*VLOOKUP($I$262,Data!$L$56:$M$64,2,FALSE)))</f>
        <v/>
      </c>
      <c r="M294" s="188" t="str">
        <f>IF(OR($A$264="",$I$262="",K294="",O294=""),"",ABS(L294/O294-1)*100)</f>
        <v/>
      </c>
      <c r="N294" s="58" t="str">
        <f>IF(OR($A$264="",$I$262="",K294="",O294=""),"",IF(M294&gt;25,"IKKE OK","OK"))</f>
        <v/>
      </c>
      <c r="O294" s="84"/>
      <c r="P294" s="84"/>
      <c r="R294" s="58">
        <v>1</v>
      </c>
      <c r="S294" s="506"/>
      <c r="T294" s="507"/>
      <c r="U294" s="508"/>
      <c r="V294" s="84"/>
      <c r="W294" s="84"/>
      <c r="X294" s="84"/>
      <c r="Y294" s="84"/>
      <c r="Z294" s="84"/>
      <c r="AA294" s="84"/>
      <c r="AB294" s="84"/>
      <c r="AC294" s="255" t="str">
        <f>IF(OR($A$264="",$I$262="",AB294=""),"",IF($A$264="SSD detektor",AB294*VLOOKUP($I$262,Data!$L$56:$M$60,2,FALSE),AB294/1.2*VLOOKUP($I$262,Data!$L$56:$M$64,2,FALSE)))</f>
        <v/>
      </c>
      <c r="AD294" s="188" t="str">
        <f>IF(OR($A$264="",$I$262="",AB294="",AF294=""),"",ABS(AC294/AF294-1)*100)</f>
        <v/>
      </c>
      <c r="AE294" s="58" t="str">
        <f>IF(OR($A$264="",$I$262="",AB294="",AF294=""),"",IF(AD294&gt;25,"IKKE OK","OK"))</f>
        <v/>
      </c>
      <c r="AF294" s="84"/>
      <c r="AG294" s="84"/>
    </row>
    <row r="295" spans="1:33" x14ac:dyDescent="0.25">
      <c r="A295" s="58">
        <v>2</v>
      </c>
      <c r="B295" s="417"/>
      <c r="C295" s="496"/>
      <c r="D295" s="418"/>
      <c r="E295" s="84"/>
      <c r="F295" s="108"/>
      <c r="G295" s="108"/>
      <c r="H295" s="84"/>
      <c r="I295" s="84"/>
      <c r="J295" s="84"/>
      <c r="K295" s="84"/>
      <c r="L295" s="255" t="str">
        <f>IF(OR($A$264="",$I$262="",K295=""),"",IF($A$264="SSD detektor",K295*VLOOKUP($I$262,Data!$L$56:$M$60,2,FALSE),K295/1.2*VLOOKUP($I$262,Data!$L$56:$M$64,2,FALSE)))</f>
        <v/>
      </c>
      <c r="M295" s="188" t="str">
        <f t="shared" ref="M295:M313" si="24">IF(OR($A$264="",$I$262="",K295="",O295=""),"",ABS(L295/O295-1)*100)</f>
        <v/>
      </c>
      <c r="N295" s="58" t="str">
        <f t="shared" ref="N295:N313" si="25">IF(OR($A$264="",$I$262="",K295="",O295=""),"",IF(M295&gt;25,"IKKE OK","OK"))</f>
        <v/>
      </c>
      <c r="O295" s="84"/>
      <c r="P295" s="84"/>
      <c r="R295" s="58">
        <v>2</v>
      </c>
      <c r="S295" s="417"/>
      <c r="T295" s="496"/>
      <c r="U295" s="418"/>
      <c r="V295" s="84"/>
      <c r="W295" s="108"/>
      <c r="X295" s="84"/>
      <c r="Y295" s="84"/>
      <c r="Z295" s="84"/>
      <c r="AA295" s="84"/>
      <c r="AB295" s="84"/>
      <c r="AC295" s="255" t="str">
        <f>IF(OR($A$264="",$I$262="",AB295=""),"",IF($A$264="SSD detektor",AB295*VLOOKUP($I$262,Data!$L$56:$M$60,2,FALSE),AB295/1.2*VLOOKUP($I$262,Data!$L$56:$M$64,2,FALSE)))</f>
        <v/>
      </c>
      <c r="AD295" s="188" t="str">
        <f t="shared" ref="AD295:AD313" si="26">IF(OR($A$264="",$I$262="",AB295="",AF295=""),"",ABS(AC295/AF295-1)*100)</f>
        <v/>
      </c>
      <c r="AE295" s="58" t="str">
        <f t="shared" ref="AE295:AE313" si="27">IF(OR($A$264="",$I$262="",AB295="",AF295=""),"",IF(AD295&gt;25,"IKKE OK","OK"))</f>
        <v/>
      </c>
      <c r="AF295" s="84"/>
      <c r="AG295" s="84"/>
    </row>
    <row r="296" spans="1:33" x14ac:dyDescent="0.25">
      <c r="A296" s="58">
        <v>3</v>
      </c>
      <c r="B296" s="417"/>
      <c r="C296" s="496"/>
      <c r="D296" s="418"/>
      <c r="E296" s="84"/>
      <c r="F296" s="108"/>
      <c r="G296" s="108"/>
      <c r="H296" s="84"/>
      <c r="I296" s="84"/>
      <c r="J296" s="84"/>
      <c r="K296" s="84"/>
      <c r="L296" s="255" t="str">
        <f>IF(OR($A$264="",$I$262="",K296=""),"",IF($A$264="SSD detektor",K296*VLOOKUP($I$262,Data!$L$56:$M$60,2,FALSE),K296/1.2*VLOOKUP($I$262,Data!$L$56:$M$64,2,FALSE)))</f>
        <v/>
      </c>
      <c r="M296" s="188" t="str">
        <f t="shared" si="24"/>
        <v/>
      </c>
      <c r="N296" s="58" t="str">
        <f t="shared" si="25"/>
        <v/>
      </c>
      <c r="O296" s="84"/>
      <c r="P296" s="84"/>
      <c r="R296" s="58">
        <v>3</v>
      </c>
      <c r="S296" s="417"/>
      <c r="T296" s="496"/>
      <c r="U296" s="418"/>
      <c r="V296" s="84"/>
      <c r="W296" s="108"/>
      <c r="X296" s="84"/>
      <c r="Y296" s="84"/>
      <c r="Z296" s="84"/>
      <c r="AA296" s="84"/>
      <c r="AB296" s="84"/>
      <c r="AC296" s="255" t="str">
        <f>IF(OR($A$264="",$I$262="",AB296=""),"",IF($A$264="SSD detektor",AB296*VLOOKUP($I$262,Data!$L$56:$M$60,2,FALSE),AB296/1.2*VLOOKUP($I$262,Data!$L$56:$M$64,2,FALSE)))</f>
        <v/>
      </c>
      <c r="AD296" s="188" t="str">
        <f t="shared" si="26"/>
        <v/>
      </c>
      <c r="AE296" s="58" t="str">
        <f t="shared" si="27"/>
        <v/>
      </c>
      <c r="AF296" s="84"/>
      <c r="AG296" s="84"/>
    </row>
    <row r="297" spans="1:33" x14ac:dyDescent="0.25">
      <c r="A297" s="58">
        <v>4</v>
      </c>
      <c r="B297" s="417"/>
      <c r="C297" s="496"/>
      <c r="D297" s="418"/>
      <c r="E297" s="84"/>
      <c r="F297" s="108"/>
      <c r="G297" s="108"/>
      <c r="H297" s="84"/>
      <c r="I297" s="84"/>
      <c r="J297" s="84"/>
      <c r="K297" s="84"/>
      <c r="L297" s="255" t="str">
        <f>IF(OR($A$264="",$I$262="",K297=""),"",IF($A$264="SSD detektor",K297*VLOOKUP($I$262,Data!$L$56:$M$60,2,FALSE),K297/1.2*VLOOKUP($I$262,Data!$L$56:$M$64,2,FALSE)))</f>
        <v/>
      </c>
      <c r="M297" s="188" t="str">
        <f t="shared" si="24"/>
        <v/>
      </c>
      <c r="N297" s="58" t="str">
        <f t="shared" si="25"/>
        <v/>
      </c>
      <c r="O297" s="84"/>
      <c r="P297" s="84"/>
      <c r="R297" s="58">
        <v>4</v>
      </c>
      <c r="S297" s="417"/>
      <c r="T297" s="496"/>
      <c r="U297" s="418"/>
      <c r="V297" s="84"/>
      <c r="W297" s="108"/>
      <c r="X297" s="84"/>
      <c r="Y297" s="84"/>
      <c r="Z297" s="84"/>
      <c r="AA297" s="84"/>
      <c r="AB297" s="84"/>
      <c r="AC297" s="255" t="str">
        <f>IF(OR($A$264="",$I$262="",AB297=""),"",IF($A$264="SSD detektor",AB297*VLOOKUP($I$262,Data!$L$56:$M$60,2,FALSE),AB297/1.2*VLOOKUP($I$262,Data!$L$56:$M$64,2,FALSE)))</f>
        <v/>
      </c>
      <c r="AD297" s="188" t="str">
        <f t="shared" si="26"/>
        <v/>
      </c>
      <c r="AE297" s="58" t="str">
        <f t="shared" si="27"/>
        <v/>
      </c>
      <c r="AF297" s="84"/>
      <c r="AG297" s="84"/>
    </row>
    <row r="298" spans="1:33" x14ac:dyDescent="0.25">
      <c r="A298" s="58">
        <v>5</v>
      </c>
      <c r="B298" s="417"/>
      <c r="C298" s="496"/>
      <c r="D298" s="418"/>
      <c r="E298" s="84"/>
      <c r="F298" s="84"/>
      <c r="G298" s="84"/>
      <c r="H298" s="84"/>
      <c r="I298" s="84"/>
      <c r="J298" s="84"/>
      <c r="K298" s="84"/>
      <c r="L298" s="255" t="str">
        <f>IF(OR($A$264="",$I$262="",K298=""),"",IF($A$264="SSD detektor",K298*VLOOKUP($I$262,Data!$L$56:$M$60,2,FALSE),K298/1.2*VLOOKUP($I$262,Data!$L$56:$M$64,2,FALSE)))</f>
        <v/>
      </c>
      <c r="M298" s="188" t="str">
        <f t="shared" si="24"/>
        <v/>
      </c>
      <c r="N298" s="58" t="str">
        <f t="shared" si="25"/>
        <v/>
      </c>
      <c r="O298" s="84"/>
      <c r="P298" s="84"/>
      <c r="R298" s="58">
        <v>5</v>
      </c>
      <c r="S298" s="417"/>
      <c r="T298" s="496"/>
      <c r="U298" s="418"/>
      <c r="V298" s="84"/>
      <c r="W298" s="84"/>
      <c r="X298" s="84"/>
      <c r="Y298" s="84"/>
      <c r="Z298" s="84"/>
      <c r="AA298" s="84"/>
      <c r="AB298" s="84"/>
      <c r="AC298" s="255" t="str">
        <f>IF(OR($A$264="",$I$262="",AB298=""),"",IF($A$264="SSD detektor",AB298*VLOOKUP($I$262,Data!$L$56:$M$60,2,FALSE),AB298/1.2*VLOOKUP($I$262,Data!$L$56:$M$64,2,FALSE)))</f>
        <v/>
      </c>
      <c r="AD298" s="188" t="str">
        <f t="shared" si="26"/>
        <v/>
      </c>
      <c r="AE298" s="58" t="str">
        <f t="shared" si="27"/>
        <v/>
      </c>
      <c r="AF298" s="84"/>
      <c r="AG298" s="84"/>
    </row>
    <row r="299" spans="1:33" x14ac:dyDescent="0.25">
      <c r="A299" s="58">
        <v>6</v>
      </c>
      <c r="B299" s="417"/>
      <c r="C299" s="496"/>
      <c r="D299" s="418"/>
      <c r="E299" s="84"/>
      <c r="F299" s="84"/>
      <c r="G299" s="84"/>
      <c r="H299" s="84"/>
      <c r="I299" s="84"/>
      <c r="J299" s="84"/>
      <c r="K299" s="84"/>
      <c r="L299" s="255" t="str">
        <f>IF(OR($A$264="",$I$262="",K299=""),"",IF($A$264="SSD detektor",K299*VLOOKUP($I$262,Data!$L$56:$M$60,2,FALSE),K299/1.2*VLOOKUP($I$262,Data!$L$56:$M$64,2,FALSE)))</f>
        <v/>
      </c>
      <c r="M299" s="188" t="str">
        <f t="shared" si="24"/>
        <v/>
      </c>
      <c r="N299" s="58" t="str">
        <f t="shared" si="25"/>
        <v/>
      </c>
      <c r="O299" s="84"/>
      <c r="P299" s="84"/>
      <c r="R299" s="58">
        <v>6</v>
      </c>
      <c r="S299" s="417"/>
      <c r="T299" s="496"/>
      <c r="U299" s="418"/>
      <c r="V299" s="84"/>
      <c r="W299" s="84"/>
      <c r="X299" s="84"/>
      <c r="Y299" s="84"/>
      <c r="Z299" s="84"/>
      <c r="AA299" s="84"/>
      <c r="AB299" s="84"/>
      <c r="AC299" s="255" t="str">
        <f>IF(OR($A$264="",$I$262="",AB299=""),"",IF($A$264="SSD detektor",AB299*VLOOKUP($I$262,Data!$L$56:$M$60,2,FALSE),AB299/1.2*VLOOKUP($I$262,Data!$L$56:$M$64,2,FALSE)))</f>
        <v/>
      </c>
      <c r="AD299" s="188" t="str">
        <f t="shared" si="26"/>
        <v/>
      </c>
      <c r="AE299" s="58" t="str">
        <f t="shared" si="27"/>
        <v/>
      </c>
      <c r="AF299" s="84"/>
      <c r="AG299" s="84"/>
    </row>
    <row r="300" spans="1:33" x14ac:dyDescent="0.25">
      <c r="A300" s="58">
        <v>7</v>
      </c>
      <c r="B300" s="497"/>
      <c r="C300" s="498"/>
      <c r="D300" s="499"/>
      <c r="E300" s="84"/>
      <c r="F300" s="84"/>
      <c r="G300" s="84"/>
      <c r="H300" s="84"/>
      <c r="I300" s="84"/>
      <c r="J300" s="84"/>
      <c r="K300" s="84"/>
      <c r="L300" s="255" t="str">
        <f>IF(OR($A$264="",$I$262="",K300=""),"",IF($A$264="SSD detektor",K300*VLOOKUP($I$262,Data!$L$56:$M$60,2,FALSE),K300/1.2*VLOOKUP($I$262,Data!$L$56:$M$64,2,FALSE)))</f>
        <v/>
      </c>
      <c r="M300" s="188" t="str">
        <f t="shared" si="24"/>
        <v/>
      </c>
      <c r="N300" s="58" t="str">
        <f t="shared" si="25"/>
        <v/>
      </c>
      <c r="O300" s="84"/>
      <c r="P300" s="84"/>
      <c r="R300" s="58">
        <v>7</v>
      </c>
      <c r="S300" s="497"/>
      <c r="T300" s="498"/>
      <c r="U300" s="499"/>
      <c r="V300" s="84"/>
      <c r="W300" s="84"/>
      <c r="X300" s="84"/>
      <c r="Y300" s="84"/>
      <c r="Z300" s="84"/>
      <c r="AA300" s="84"/>
      <c r="AB300" s="84"/>
      <c r="AC300" s="255" t="str">
        <f>IF(OR($A$264="",$I$262="",AB300=""),"",IF($A$264="SSD detektor",AB300*VLOOKUP($I$262,Data!$L$56:$M$60,2,FALSE),AB300/1.2*VLOOKUP($I$262,Data!$L$56:$M$64,2,FALSE)))</f>
        <v/>
      </c>
      <c r="AD300" s="188" t="str">
        <f t="shared" si="26"/>
        <v/>
      </c>
      <c r="AE300" s="58" t="str">
        <f t="shared" si="27"/>
        <v/>
      </c>
      <c r="AF300" s="84"/>
      <c r="AG300" s="84"/>
    </row>
    <row r="301" spans="1:33" x14ac:dyDescent="0.25">
      <c r="A301" s="58">
        <v>8</v>
      </c>
      <c r="B301" s="417"/>
      <c r="C301" s="496"/>
      <c r="D301" s="418"/>
      <c r="E301" s="84"/>
      <c r="F301" s="108"/>
      <c r="G301" s="108"/>
      <c r="H301" s="84"/>
      <c r="I301" s="84"/>
      <c r="J301" s="84"/>
      <c r="K301" s="84"/>
      <c r="L301" s="255" t="str">
        <f>IF(OR($A$264="",$I$262="",K301=""),"",IF($A$264="SSD detektor",K301*VLOOKUP($I$262,Data!$L$56:$M$60,2,FALSE),K301/1.2*VLOOKUP($I$262,Data!$L$56:$M$64,2,FALSE)))</f>
        <v/>
      </c>
      <c r="M301" s="188" t="str">
        <f t="shared" si="24"/>
        <v/>
      </c>
      <c r="N301" s="58" t="str">
        <f t="shared" si="25"/>
        <v/>
      </c>
      <c r="O301" s="84"/>
      <c r="P301" s="84"/>
      <c r="R301" s="58">
        <v>8</v>
      </c>
      <c r="S301" s="417"/>
      <c r="T301" s="496"/>
      <c r="U301" s="418"/>
      <c r="V301" s="84"/>
      <c r="W301" s="108"/>
      <c r="X301" s="84"/>
      <c r="Y301" s="84"/>
      <c r="Z301" s="84"/>
      <c r="AA301" s="84"/>
      <c r="AB301" s="84"/>
      <c r="AC301" s="255" t="str">
        <f>IF(OR($A$264="",$I$262="",AB301=""),"",IF($A$264="SSD detektor",AB301*VLOOKUP($I$262,Data!$L$56:$M$60,2,FALSE),AB301/1.2*VLOOKUP($I$262,Data!$L$56:$M$64,2,FALSE)))</f>
        <v/>
      </c>
      <c r="AD301" s="188" t="str">
        <f t="shared" si="26"/>
        <v/>
      </c>
      <c r="AE301" s="58" t="str">
        <f t="shared" si="27"/>
        <v/>
      </c>
      <c r="AF301" s="84"/>
      <c r="AG301" s="84"/>
    </row>
    <row r="302" spans="1:33" x14ac:dyDescent="0.25">
      <c r="A302" s="58">
        <v>9</v>
      </c>
      <c r="B302" s="417"/>
      <c r="C302" s="496"/>
      <c r="D302" s="418"/>
      <c r="E302" s="84"/>
      <c r="F302" s="108"/>
      <c r="G302" s="108"/>
      <c r="H302" s="84"/>
      <c r="I302" s="84"/>
      <c r="J302" s="84"/>
      <c r="K302" s="84"/>
      <c r="L302" s="255" t="str">
        <f>IF(OR($A$264="",$I$262="",K302=""),"",IF($A$264="SSD detektor",K302*VLOOKUP($I$262,Data!$L$56:$M$60,2,FALSE),K302/1.2*VLOOKUP($I$262,Data!$L$56:$M$64,2,FALSE)))</f>
        <v/>
      </c>
      <c r="M302" s="188" t="str">
        <f t="shared" si="24"/>
        <v/>
      </c>
      <c r="N302" s="58" t="str">
        <f t="shared" si="25"/>
        <v/>
      </c>
      <c r="O302" s="84"/>
      <c r="P302" s="84"/>
      <c r="R302" s="58">
        <v>9</v>
      </c>
      <c r="S302" s="417"/>
      <c r="T302" s="496"/>
      <c r="U302" s="418"/>
      <c r="V302" s="84"/>
      <c r="W302" s="108"/>
      <c r="X302" s="84"/>
      <c r="Y302" s="84"/>
      <c r="Z302" s="84"/>
      <c r="AA302" s="84"/>
      <c r="AB302" s="84"/>
      <c r="AC302" s="255" t="str">
        <f>IF(OR($A$264="",$I$262="",AB302=""),"",IF($A$264="SSD detektor",AB302*VLOOKUP($I$262,Data!$L$56:$M$60,2,FALSE),AB302/1.2*VLOOKUP($I$262,Data!$L$56:$M$64,2,FALSE)))</f>
        <v/>
      </c>
      <c r="AD302" s="188" t="str">
        <f t="shared" si="26"/>
        <v/>
      </c>
      <c r="AE302" s="58" t="str">
        <f t="shared" si="27"/>
        <v/>
      </c>
      <c r="AF302" s="84"/>
      <c r="AG302" s="84"/>
    </row>
    <row r="303" spans="1:33" x14ac:dyDescent="0.25">
      <c r="A303" s="58">
        <v>10</v>
      </c>
      <c r="B303" s="417"/>
      <c r="C303" s="496"/>
      <c r="D303" s="418"/>
      <c r="E303" s="84"/>
      <c r="F303" s="108"/>
      <c r="G303" s="108"/>
      <c r="H303" s="84"/>
      <c r="I303" s="84"/>
      <c r="J303" s="84"/>
      <c r="K303" s="84"/>
      <c r="L303" s="255" t="str">
        <f>IF(OR($A$264="",$I$262="",K303=""),"",IF($A$264="SSD detektor",K303*VLOOKUP($I$262,Data!$L$56:$M$60,2,FALSE),K303/1.2*VLOOKUP($I$262,Data!$L$56:$M$64,2,FALSE)))</f>
        <v/>
      </c>
      <c r="M303" s="188" t="str">
        <f t="shared" si="24"/>
        <v/>
      </c>
      <c r="N303" s="58" t="str">
        <f t="shared" si="25"/>
        <v/>
      </c>
      <c r="O303" s="84"/>
      <c r="P303" s="84"/>
      <c r="R303" s="58">
        <v>10</v>
      </c>
      <c r="S303" s="417"/>
      <c r="T303" s="496"/>
      <c r="U303" s="418"/>
      <c r="V303" s="84"/>
      <c r="W303" s="108"/>
      <c r="X303" s="84"/>
      <c r="Y303" s="84"/>
      <c r="Z303" s="84"/>
      <c r="AA303" s="84"/>
      <c r="AB303" s="84"/>
      <c r="AC303" s="255" t="str">
        <f>IF(OR($A$264="",$I$262="",AB303=""),"",IF($A$264="SSD detektor",AB303*VLOOKUP($I$262,Data!$L$56:$M$60,2,FALSE),AB303/1.2*VLOOKUP($I$262,Data!$L$56:$M$64,2,FALSE)))</f>
        <v/>
      </c>
      <c r="AD303" s="188" t="str">
        <f t="shared" si="26"/>
        <v/>
      </c>
      <c r="AE303" s="58" t="str">
        <f t="shared" si="27"/>
        <v/>
      </c>
      <c r="AF303" s="84"/>
      <c r="AG303" s="84"/>
    </row>
    <row r="304" spans="1:33" x14ac:dyDescent="0.25">
      <c r="A304" s="58">
        <v>11</v>
      </c>
      <c r="B304" s="417"/>
      <c r="C304" s="496"/>
      <c r="D304" s="418"/>
      <c r="E304" s="84"/>
      <c r="F304" s="84"/>
      <c r="G304" s="84"/>
      <c r="H304" s="84"/>
      <c r="I304" s="84"/>
      <c r="J304" s="84"/>
      <c r="K304" s="84"/>
      <c r="L304" s="255" t="str">
        <f>IF(OR($A$264="",$I$262="",K304=""),"",IF($A$264="SSD detektor",K304*VLOOKUP($I$262,Data!$L$56:$M$60,2,FALSE),K304/1.2*VLOOKUP($I$262,Data!$L$56:$M$64,2,FALSE)))</f>
        <v/>
      </c>
      <c r="M304" s="188" t="str">
        <f t="shared" si="24"/>
        <v/>
      </c>
      <c r="N304" s="58" t="str">
        <f t="shared" si="25"/>
        <v/>
      </c>
      <c r="O304" s="84"/>
      <c r="P304" s="84"/>
      <c r="R304" s="58">
        <v>11</v>
      </c>
      <c r="S304" s="417"/>
      <c r="T304" s="496"/>
      <c r="U304" s="418"/>
      <c r="V304" s="84"/>
      <c r="W304" s="84"/>
      <c r="X304" s="84"/>
      <c r="Y304" s="84"/>
      <c r="Z304" s="84"/>
      <c r="AA304" s="84"/>
      <c r="AB304" s="84"/>
      <c r="AC304" s="255" t="str">
        <f>IF(OR($A$264="",$I$262="",AB304=""),"",IF($A$264="SSD detektor",AB304*VLOOKUP($I$262,Data!$L$56:$M$60,2,FALSE),AB304/1.2*VLOOKUP($I$262,Data!$L$56:$M$64,2,FALSE)))</f>
        <v/>
      </c>
      <c r="AD304" s="188" t="str">
        <f t="shared" si="26"/>
        <v/>
      </c>
      <c r="AE304" s="58" t="str">
        <f t="shared" si="27"/>
        <v/>
      </c>
      <c r="AF304" s="84"/>
      <c r="AG304" s="84"/>
    </row>
    <row r="305" spans="1:33" x14ac:dyDescent="0.25">
      <c r="A305" s="58">
        <v>12</v>
      </c>
      <c r="B305" s="417"/>
      <c r="C305" s="496"/>
      <c r="D305" s="418"/>
      <c r="E305" s="84"/>
      <c r="F305" s="84"/>
      <c r="G305" s="84"/>
      <c r="H305" s="84"/>
      <c r="I305" s="84"/>
      <c r="J305" s="84"/>
      <c r="K305" s="84"/>
      <c r="L305" s="255" t="str">
        <f>IF(OR($A$264="",$I$262="",K305=""),"",IF($A$264="SSD detektor",K305*VLOOKUP($I$262,Data!$L$56:$M$60,2,FALSE),K305/1.2*VLOOKUP($I$262,Data!$L$56:$M$64,2,FALSE)))</f>
        <v/>
      </c>
      <c r="M305" s="188" t="str">
        <f t="shared" si="24"/>
        <v/>
      </c>
      <c r="N305" s="58" t="str">
        <f t="shared" si="25"/>
        <v/>
      </c>
      <c r="O305" s="84"/>
      <c r="P305" s="84"/>
      <c r="R305" s="58">
        <v>12</v>
      </c>
      <c r="S305" s="417"/>
      <c r="T305" s="496"/>
      <c r="U305" s="418"/>
      <c r="V305" s="84"/>
      <c r="W305" s="84"/>
      <c r="X305" s="84"/>
      <c r="Y305" s="84"/>
      <c r="Z305" s="84"/>
      <c r="AA305" s="84"/>
      <c r="AB305" s="84"/>
      <c r="AC305" s="255" t="str">
        <f>IF(OR($A$264="",$I$262="",AB305=""),"",IF($A$264="SSD detektor",AB305*VLOOKUP($I$262,Data!$L$56:$M$60,2,FALSE),AB305/1.2*VLOOKUP($I$262,Data!$L$56:$M$64,2,FALSE)))</f>
        <v/>
      </c>
      <c r="AD305" s="188" t="str">
        <f t="shared" si="26"/>
        <v/>
      </c>
      <c r="AE305" s="58" t="str">
        <f t="shared" si="27"/>
        <v/>
      </c>
      <c r="AF305" s="84"/>
      <c r="AG305" s="84"/>
    </row>
    <row r="306" spans="1:33" x14ac:dyDescent="0.25">
      <c r="A306" s="58">
        <v>13</v>
      </c>
      <c r="B306" s="417"/>
      <c r="C306" s="496"/>
      <c r="D306" s="418"/>
      <c r="E306" s="84"/>
      <c r="F306" s="84"/>
      <c r="G306" s="84"/>
      <c r="H306" s="84"/>
      <c r="I306" s="84"/>
      <c r="J306" s="84"/>
      <c r="K306" s="84"/>
      <c r="L306" s="255" t="str">
        <f>IF(OR($A$264="",$I$262="",K306=""),"",IF($A$264="SSD detektor",K306*VLOOKUP($I$262,Data!$L$56:$M$60,2,FALSE),K306/1.2*VLOOKUP($I$262,Data!$L$56:$M$64,2,FALSE)))</f>
        <v/>
      </c>
      <c r="M306" s="188" t="str">
        <f t="shared" si="24"/>
        <v/>
      </c>
      <c r="N306" s="58" t="str">
        <f t="shared" si="25"/>
        <v/>
      </c>
      <c r="O306" s="84"/>
      <c r="P306" s="84"/>
      <c r="R306" s="58">
        <v>13</v>
      </c>
      <c r="S306" s="417"/>
      <c r="T306" s="496"/>
      <c r="U306" s="418"/>
      <c r="V306" s="84"/>
      <c r="W306" s="84"/>
      <c r="X306" s="84"/>
      <c r="Y306" s="84"/>
      <c r="Z306" s="84"/>
      <c r="AA306" s="84"/>
      <c r="AB306" s="84"/>
      <c r="AC306" s="255" t="str">
        <f>IF(OR($A$264="",$I$262="",AB306=""),"",IF($A$264="SSD detektor",AB306*VLOOKUP($I$262,Data!$L$56:$M$60,2,FALSE),AB306/1.2*VLOOKUP($I$262,Data!$L$56:$M$64,2,FALSE)))</f>
        <v/>
      </c>
      <c r="AD306" s="188" t="str">
        <f t="shared" si="26"/>
        <v/>
      </c>
      <c r="AE306" s="58" t="str">
        <f t="shared" si="27"/>
        <v/>
      </c>
      <c r="AF306" s="84"/>
      <c r="AG306" s="84"/>
    </row>
    <row r="307" spans="1:33" x14ac:dyDescent="0.25">
      <c r="A307" s="58">
        <v>14</v>
      </c>
      <c r="B307" s="417"/>
      <c r="C307" s="496"/>
      <c r="D307" s="418"/>
      <c r="E307" s="105"/>
      <c r="F307" s="105"/>
      <c r="G307" s="105"/>
      <c r="H307" s="105"/>
      <c r="I307" s="105"/>
      <c r="J307" s="105"/>
      <c r="K307" s="105"/>
      <c r="L307" s="255" t="str">
        <f>IF(OR($A$264="",$I$262="",K307=""),"",IF($A$264="SSD detektor",K307*VLOOKUP($I$262,Data!$L$56:$M$60,2,FALSE),K307/1.2*VLOOKUP($I$262,Data!$L$56:$M$64,2,FALSE)))</f>
        <v/>
      </c>
      <c r="M307" s="188" t="str">
        <f t="shared" si="24"/>
        <v/>
      </c>
      <c r="N307" s="58" t="str">
        <f t="shared" si="25"/>
        <v/>
      </c>
      <c r="O307" s="105"/>
      <c r="P307" s="84"/>
      <c r="R307" s="58">
        <v>14</v>
      </c>
      <c r="S307" s="417"/>
      <c r="T307" s="496"/>
      <c r="U307" s="418"/>
      <c r="V307" s="105"/>
      <c r="W307" s="105"/>
      <c r="X307" s="105"/>
      <c r="Y307" s="105"/>
      <c r="Z307" s="105"/>
      <c r="AA307" s="105"/>
      <c r="AB307" s="105"/>
      <c r="AC307" s="255" t="str">
        <f>IF(OR($A$264="",$I$262="",AB307=""),"",IF($A$264="SSD detektor",AB307*VLOOKUP($I$262,Data!$L$56:$M$60,2,FALSE),AB307/1.2*VLOOKUP($I$262,Data!$L$56:$M$64,2,FALSE)))</f>
        <v/>
      </c>
      <c r="AD307" s="188" t="str">
        <f t="shared" si="26"/>
        <v/>
      </c>
      <c r="AE307" s="58" t="str">
        <f t="shared" si="27"/>
        <v/>
      </c>
      <c r="AF307" s="105"/>
      <c r="AG307" s="84"/>
    </row>
    <row r="308" spans="1:33" x14ac:dyDescent="0.25">
      <c r="A308" s="58">
        <v>15</v>
      </c>
      <c r="B308" s="417"/>
      <c r="C308" s="496"/>
      <c r="D308" s="418"/>
      <c r="E308" s="105"/>
      <c r="F308" s="105"/>
      <c r="G308" s="105"/>
      <c r="H308" s="105"/>
      <c r="I308" s="105"/>
      <c r="J308" s="105"/>
      <c r="K308" s="105"/>
      <c r="L308" s="255" t="str">
        <f>IF(OR($A$264="",$I$262="",K308=""),"",IF($A$264="SSD detektor",K308*VLOOKUP($I$262,Data!$L$56:$M$60,2,FALSE),K308/1.2*VLOOKUP($I$262,Data!$L$56:$M$64,2,FALSE)))</f>
        <v/>
      </c>
      <c r="M308" s="188" t="str">
        <f t="shared" si="24"/>
        <v/>
      </c>
      <c r="N308" s="58" t="str">
        <f t="shared" si="25"/>
        <v/>
      </c>
      <c r="O308" s="105"/>
      <c r="P308" s="84"/>
      <c r="R308" s="58">
        <v>15</v>
      </c>
      <c r="S308" s="417"/>
      <c r="T308" s="496"/>
      <c r="U308" s="418"/>
      <c r="V308" s="105"/>
      <c r="W308" s="105"/>
      <c r="X308" s="105"/>
      <c r="Y308" s="105"/>
      <c r="Z308" s="105"/>
      <c r="AA308" s="105"/>
      <c r="AB308" s="105"/>
      <c r="AC308" s="255" t="str">
        <f>IF(OR($A$264="",$I$262="",AB308=""),"",IF($A$264="SSD detektor",AB308*VLOOKUP($I$262,Data!$L$56:$M$60,2,FALSE),AB308/1.2*VLOOKUP($I$262,Data!$L$56:$M$64,2,FALSE)))</f>
        <v/>
      </c>
      <c r="AD308" s="188" t="str">
        <f t="shared" si="26"/>
        <v/>
      </c>
      <c r="AE308" s="58" t="str">
        <f t="shared" si="27"/>
        <v/>
      </c>
      <c r="AF308" s="105"/>
      <c r="AG308" s="84"/>
    </row>
    <row r="309" spans="1:33" x14ac:dyDescent="0.25">
      <c r="A309" s="58">
        <v>16</v>
      </c>
      <c r="B309" s="417"/>
      <c r="C309" s="496"/>
      <c r="D309" s="418"/>
      <c r="E309" s="105"/>
      <c r="F309" s="105"/>
      <c r="G309" s="105"/>
      <c r="H309" s="105"/>
      <c r="I309" s="105"/>
      <c r="J309" s="105"/>
      <c r="K309" s="105"/>
      <c r="L309" s="255" t="str">
        <f>IF(OR($A$264="",$I$262="",K309=""),"",IF($A$264="SSD detektor",K309*VLOOKUP($I$262,Data!$L$56:$M$60,2,FALSE),K309/1.2*VLOOKUP($I$262,Data!$L$56:$M$64,2,FALSE)))</f>
        <v/>
      </c>
      <c r="M309" s="188" t="str">
        <f t="shared" si="24"/>
        <v/>
      </c>
      <c r="N309" s="58" t="str">
        <f t="shared" si="25"/>
        <v/>
      </c>
      <c r="O309" s="105"/>
      <c r="P309" s="84"/>
      <c r="R309" s="58">
        <v>16</v>
      </c>
      <c r="S309" s="417"/>
      <c r="T309" s="496"/>
      <c r="U309" s="418"/>
      <c r="V309" s="105"/>
      <c r="W309" s="105"/>
      <c r="X309" s="105"/>
      <c r="Y309" s="105"/>
      <c r="Z309" s="105"/>
      <c r="AA309" s="105"/>
      <c r="AB309" s="105"/>
      <c r="AC309" s="255" t="str">
        <f>IF(OR($A$264="",$I$262="",AB309=""),"",IF($A$264="SSD detektor",AB309*VLOOKUP($I$262,Data!$L$56:$M$60,2,FALSE),AB309/1.2*VLOOKUP($I$262,Data!$L$56:$M$64,2,FALSE)))</f>
        <v/>
      </c>
      <c r="AD309" s="188" t="str">
        <f t="shared" si="26"/>
        <v/>
      </c>
      <c r="AE309" s="58" t="str">
        <f t="shared" si="27"/>
        <v/>
      </c>
      <c r="AF309" s="105"/>
      <c r="AG309" s="84"/>
    </row>
    <row r="310" spans="1:33" x14ac:dyDescent="0.25">
      <c r="A310" s="58">
        <v>17</v>
      </c>
      <c r="B310" s="417"/>
      <c r="C310" s="496"/>
      <c r="D310" s="418"/>
      <c r="E310" s="105"/>
      <c r="F310" s="105"/>
      <c r="G310" s="105"/>
      <c r="H310" s="105"/>
      <c r="I310" s="105"/>
      <c r="J310" s="105"/>
      <c r="K310" s="105"/>
      <c r="L310" s="255" t="str">
        <f>IF(OR($A$264="",$I$262="",K310=""),"",IF($A$264="SSD detektor",K310*VLOOKUP($I$262,Data!$L$56:$M$60,2,FALSE),K310/1.2*VLOOKUP($I$262,Data!$L$56:$M$64,2,FALSE)))</f>
        <v/>
      </c>
      <c r="M310" s="188" t="str">
        <f t="shared" si="24"/>
        <v/>
      </c>
      <c r="N310" s="58" t="str">
        <f t="shared" si="25"/>
        <v/>
      </c>
      <c r="O310" s="105"/>
      <c r="P310" s="84"/>
      <c r="R310" s="58">
        <v>17</v>
      </c>
      <c r="S310" s="417"/>
      <c r="T310" s="496"/>
      <c r="U310" s="418"/>
      <c r="V310" s="105"/>
      <c r="W310" s="105"/>
      <c r="X310" s="105"/>
      <c r="Y310" s="105"/>
      <c r="Z310" s="105"/>
      <c r="AA310" s="105"/>
      <c r="AB310" s="105"/>
      <c r="AC310" s="255" t="str">
        <f>IF(OR($A$264="",$I$262="",AB310=""),"",IF($A$264="SSD detektor",AB310*VLOOKUP($I$262,Data!$L$56:$M$60,2,FALSE),AB310/1.2*VLOOKUP($I$262,Data!$L$56:$M$64,2,FALSE)))</f>
        <v/>
      </c>
      <c r="AD310" s="188" t="str">
        <f t="shared" si="26"/>
        <v/>
      </c>
      <c r="AE310" s="58" t="str">
        <f t="shared" si="27"/>
        <v/>
      </c>
      <c r="AF310" s="105"/>
      <c r="AG310" s="84"/>
    </row>
    <row r="311" spans="1:33" x14ac:dyDescent="0.25">
      <c r="A311" s="58">
        <v>18</v>
      </c>
      <c r="B311" s="417"/>
      <c r="C311" s="496"/>
      <c r="D311" s="418"/>
      <c r="E311" s="105"/>
      <c r="F311" s="105"/>
      <c r="G311" s="105"/>
      <c r="H311" s="105"/>
      <c r="I311" s="105"/>
      <c r="J311" s="105"/>
      <c r="K311" s="105"/>
      <c r="L311" s="255" t="str">
        <f>IF(OR($A$264="",$I$262="",K311=""),"",IF($A$264="SSD detektor",K311*VLOOKUP($I$262,Data!$L$56:$M$60,2,FALSE),K311/1.2*VLOOKUP($I$262,Data!$L$56:$M$64,2,FALSE)))</f>
        <v/>
      </c>
      <c r="M311" s="188" t="str">
        <f t="shared" si="24"/>
        <v/>
      </c>
      <c r="N311" s="58" t="str">
        <f t="shared" si="25"/>
        <v/>
      </c>
      <c r="O311" s="105"/>
      <c r="P311" s="84"/>
      <c r="R311" s="58">
        <v>18</v>
      </c>
      <c r="S311" s="417"/>
      <c r="T311" s="496"/>
      <c r="U311" s="418"/>
      <c r="V311" s="105"/>
      <c r="W311" s="105"/>
      <c r="X311" s="105"/>
      <c r="Y311" s="105"/>
      <c r="Z311" s="105"/>
      <c r="AA311" s="105"/>
      <c r="AB311" s="105"/>
      <c r="AC311" s="255" t="str">
        <f>IF(OR($A$264="",$I$262="",AB311=""),"",IF($A$264="SSD detektor",AB311*VLOOKUP($I$262,Data!$L$56:$M$60,2,FALSE),AB311/1.2*VLOOKUP($I$262,Data!$L$56:$M$64,2,FALSE)))</f>
        <v/>
      </c>
      <c r="AD311" s="188" t="str">
        <f t="shared" si="26"/>
        <v/>
      </c>
      <c r="AE311" s="58" t="str">
        <f t="shared" si="27"/>
        <v/>
      </c>
      <c r="AF311" s="105"/>
      <c r="AG311" s="84"/>
    </row>
    <row r="312" spans="1:33" x14ac:dyDescent="0.25">
      <c r="A312" s="58">
        <v>19</v>
      </c>
      <c r="B312" s="417"/>
      <c r="C312" s="496"/>
      <c r="D312" s="418"/>
      <c r="E312" s="105"/>
      <c r="F312" s="105"/>
      <c r="G312" s="105"/>
      <c r="H312" s="105"/>
      <c r="I312" s="105"/>
      <c r="J312" s="105"/>
      <c r="K312" s="105"/>
      <c r="L312" s="255" t="str">
        <f>IF(OR($A$264="",$I$262="",K312=""),"",IF($A$264="SSD detektor",K312*VLOOKUP($I$262,Data!$L$56:$M$60,2,FALSE),K312/1.2*VLOOKUP($I$262,Data!$L$56:$M$64,2,FALSE)))</f>
        <v/>
      </c>
      <c r="M312" s="188" t="str">
        <f t="shared" si="24"/>
        <v/>
      </c>
      <c r="N312" s="58" t="str">
        <f t="shared" si="25"/>
        <v/>
      </c>
      <c r="O312" s="105"/>
      <c r="P312" s="84"/>
      <c r="R312" s="58">
        <v>19</v>
      </c>
      <c r="S312" s="417"/>
      <c r="T312" s="496"/>
      <c r="U312" s="418"/>
      <c r="V312" s="105"/>
      <c r="W312" s="105"/>
      <c r="X312" s="105"/>
      <c r="Y312" s="105"/>
      <c r="Z312" s="105"/>
      <c r="AA312" s="105"/>
      <c r="AB312" s="105"/>
      <c r="AC312" s="255" t="str">
        <f>IF(OR($A$264="",$I$262="",AB312=""),"",IF($A$264="SSD detektor",AB312*VLOOKUP($I$262,Data!$L$56:$M$60,2,FALSE),AB312/1.2*VLOOKUP($I$262,Data!$L$56:$M$64,2,FALSE)))</f>
        <v/>
      </c>
      <c r="AD312" s="188" t="str">
        <f t="shared" si="26"/>
        <v/>
      </c>
      <c r="AE312" s="58" t="str">
        <f t="shared" si="27"/>
        <v/>
      </c>
      <c r="AF312" s="105"/>
      <c r="AG312" s="84"/>
    </row>
    <row r="313" spans="1:33" x14ac:dyDescent="0.25">
      <c r="A313" s="58">
        <v>20</v>
      </c>
      <c r="B313" s="417"/>
      <c r="C313" s="496"/>
      <c r="D313" s="418"/>
      <c r="E313" s="84"/>
      <c r="F313" s="84"/>
      <c r="G313" s="84"/>
      <c r="H313" s="84"/>
      <c r="I313" s="84"/>
      <c r="J313" s="84"/>
      <c r="K313" s="84"/>
      <c r="L313" s="255" t="str">
        <f>IF(OR($A$264="",$I$262="",K313=""),"",IF($A$264="SSD detektor",K313*VLOOKUP($I$262,Data!$L$56:$M$60,2,FALSE),K313/1.2*VLOOKUP($I$262,Data!$L$56:$M$64,2,FALSE)))</f>
        <v/>
      </c>
      <c r="M313" s="188" t="str">
        <f t="shared" si="24"/>
        <v/>
      </c>
      <c r="N313" s="58" t="str">
        <f t="shared" si="25"/>
        <v/>
      </c>
      <c r="O313" s="84"/>
      <c r="P313" s="84"/>
      <c r="R313" s="58">
        <v>20</v>
      </c>
      <c r="S313" s="417"/>
      <c r="T313" s="496"/>
      <c r="U313" s="418"/>
      <c r="V313" s="84"/>
      <c r="W313" s="84"/>
      <c r="X313" s="84"/>
      <c r="Y313" s="84"/>
      <c r="Z313" s="84"/>
      <c r="AA313" s="84"/>
      <c r="AB313" s="84"/>
      <c r="AC313" s="255" t="str">
        <f>IF(OR($A$264="",$I$262="",AB313=""),"",IF($A$264="SSD detektor",AB313*VLOOKUP($I$262,Data!$L$56:$M$60,2,FALSE),AB313/1.2*VLOOKUP($I$262,Data!$L$56:$M$64,2,FALSE)))</f>
        <v/>
      </c>
      <c r="AD313" s="188" t="str">
        <f t="shared" si="26"/>
        <v/>
      </c>
      <c r="AE313" s="58" t="str">
        <f t="shared" si="27"/>
        <v/>
      </c>
      <c r="AF313" s="84"/>
      <c r="AG313" s="84"/>
    </row>
    <row r="316" spans="1:33" ht="18.75" x14ac:dyDescent="0.3">
      <c r="A316" s="43" t="s">
        <v>311</v>
      </c>
      <c r="B316" s="45"/>
      <c r="C316" s="45"/>
      <c r="D316" s="45"/>
      <c r="E316" s="45"/>
      <c r="F316" s="124" t="s">
        <v>433</v>
      </c>
      <c r="G316" s="124"/>
      <c r="H316" s="45"/>
      <c r="I316" s="124"/>
      <c r="J316" s="45"/>
      <c r="K316" s="45"/>
      <c r="L316" s="45"/>
      <c r="M316" s="45"/>
      <c r="N316" s="45"/>
      <c r="O316" s="45"/>
      <c r="P316" s="45"/>
      <c r="Q316" s="51"/>
    </row>
    <row r="317" spans="1:33" x14ac:dyDescent="0.25">
      <c r="Q317" s="51"/>
    </row>
    <row r="318" spans="1:33" x14ac:dyDescent="0.25">
      <c r="A318" s="46" t="s">
        <v>312</v>
      </c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68" t="s">
        <v>90</v>
      </c>
      <c r="M318" s="47"/>
      <c r="N318" s="68"/>
      <c r="O318" s="47"/>
      <c r="P318" s="68"/>
      <c r="Q318" s="51"/>
    </row>
    <row r="319" spans="1:33" x14ac:dyDescent="0.25">
      <c r="A319" s="48" t="s">
        <v>40</v>
      </c>
      <c r="B319" s="49" t="s">
        <v>127</v>
      </c>
      <c r="C319" s="49"/>
      <c r="D319" s="49"/>
      <c r="E319" s="49"/>
      <c r="F319" s="49"/>
      <c r="G319" s="49"/>
      <c r="H319" s="49"/>
      <c r="I319" s="49"/>
      <c r="J319" s="49"/>
      <c r="K319" s="264"/>
      <c r="L319" s="503"/>
      <c r="M319" s="504"/>
      <c r="N319" s="504"/>
      <c r="O319" s="504"/>
      <c r="P319" s="505"/>
      <c r="Q319" s="51"/>
    </row>
    <row r="320" spans="1:33" x14ac:dyDescent="0.25">
      <c r="A320" s="41" t="s">
        <v>646</v>
      </c>
      <c r="B320" s="215" t="s">
        <v>315</v>
      </c>
      <c r="C320" s="51"/>
      <c r="D320" s="51"/>
      <c r="E320" s="51"/>
      <c r="F320" s="51"/>
      <c r="G320" s="51"/>
      <c r="H320" s="51"/>
      <c r="I320" s="51"/>
      <c r="J320" s="51"/>
      <c r="K320" s="82"/>
      <c r="L320" s="475"/>
      <c r="M320" s="476"/>
      <c r="N320" s="476"/>
      <c r="O320" s="476"/>
      <c r="P320" s="477"/>
      <c r="Q320" s="51"/>
    </row>
    <row r="321" spans="1:17" x14ac:dyDescent="0.25">
      <c r="A321" s="41" t="s">
        <v>639</v>
      </c>
      <c r="B321" s="215" t="s">
        <v>316</v>
      </c>
      <c r="C321" s="51"/>
      <c r="D321" s="51"/>
      <c r="E321" s="51"/>
      <c r="F321" s="51"/>
      <c r="G321" s="51"/>
      <c r="H321" s="51"/>
      <c r="I321" s="51"/>
      <c r="J321" s="51"/>
      <c r="K321" s="82"/>
      <c r="L321" s="475"/>
      <c r="M321" s="476"/>
      <c r="N321" s="476"/>
      <c r="O321" s="476"/>
      <c r="P321" s="477"/>
      <c r="Q321" s="51"/>
    </row>
    <row r="322" spans="1:17" x14ac:dyDescent="0.25">
      <c r="A322" s="41"/>
      <c r="B322" s="215" t="s">
        <v>477</v>
      </c>
      <c r="C322" s="51"/>
      <c r="D322" s="51"/>
      <c r="E322" s="51"/>
      <c r="F322" s="51"/>
      <c r="G322" s="51"/>
      <c r="H322" s="51"/>
      <c r="I322" s="51"/>
      <c r="J322" s="51"/>
      <c r="K322" s="82"/>
      <c r="L322" s="475"/>
      <c r="M322" s="476"/>
      <c r="N322" s="476"/>
      <c r="O322" s="476"/>
      <c r="P322" s="477"/>
      <c r="Q322" s="51"/>
    </row>
    <row r="323" spans="1:17" x14ac:dyDescent="0.25">
      <c r="A323" s="41"/>
      <c r="B323" s="215" t="s">
        <v>317</v>
      </c>
      <c r="C323" s="51"/>
      <c r="D323" s="51"/>
      <c r="E323" s="51"/>
      <c r="F323" s="51"/>
      <c r="G323" s="51"/>
      <c r="H323" s="51"/>
      <c r="I323" s="51"/>
      <c r="J323" s="51"/>
      <c r="K323" s="82"/>
      <c r="L323" s="475"/>
      <c r="M323" s="476"/>
      <c r="N323" s="476"/>
      <c r="O323" s="476"/>
      <c r="P323" s="477"/>
      <c r="Q323" s="51"/>
    </row>
    <row r="324" spans="1:17" x14ac:dyDescent="0.25">
      <c r="A324" s="41"/>
      <c r="B324" s="215" t="s">
        <v>776</v>
      </c>
      <c r="C324" s="51"/>
      <c r="D324" s="51"/>
      <c r="E324" s="51"/>
      <c r="F324" s="51"/>
      <c r="G324" s="51"/>
      <c r="H324" s="51"/>
      <c r="I324" s="51"/>
      <c r="J324" s="51"/>
      <c r="K324" s="82"/>
      <c r="L324" s="475"/>
      <c r="M324" s="476"/>
      <c r="N324" s="476"/>
      <c r="O324" s="476"/>
      <c r="P324" s="477"/>
      <c r="Q324" s="51"/>
    </row>
    <row r="325" spans="1:17" x14ac:dyDescent="0.25">
      <c r="A325" s="50" t="s">
        <v>41</v>
      </c>
      <c r="B325" s="215" t="s">
        <v>318</v>
      </c>
      <c r="C325" s="51"/>
      <c r="D325" s="51"/>
      <c r="E325" s="51"/>
      <c r="F325" s="51"/>
      <c r="G325" s="51"/>
      <c r="H325" s="51"/>
      <c r="I325" s="51"/>
      <c r="J325" s="51"/>
      <c r="K325" s="82"/>
      <c r="L325" s="475"/>
      <c r="M325" s="476"/>
      <c r="N325" s="476"/>
      <c r="O325" s="476"/>
      <c r="P325" s="477"/>
      <c r="Q325" s="51"/>
    </row>
    <row r="326" spans="1:17" x14ac:dyDescent="0.25">
      <c r="A326" s="403"/>
      <c r="B326" s="168" t="s">
        <v>561</v>
      </c>
      <c r="C326" s="72"/>
      <c r="D326" s="72"/>
      <c r="E326" s="72"/>
      <c r="F326" s="72"/>
      <c r="G326" s="72"/>
      <c r="H326" s="72"/>
      <c r="I326" s="72"/>
      <c r="J326" s="72"/>
      <c r="K326" s="83"/>
      <c r="L326" s="478"/>
      <c r="M326" s="479"/>
      <c r="N326" s="479"/>
      <c r="O326" s="479"/>
      <c r="P326" s="480"/>
      <c r="Q326" s="51"/>
    </row>
    <row r="327" spans="1:17" x14ac:dyDescent="0.25">
      <c r="A327" s="240" t="s">
        <v>659</v>
      </c>
      <c r="B327" s="216" t="s">
        <v>660</v>
      </c>
      <c r="C327" s="376"/>
      <c r="D327" s="376"/>
      <c r="E327" s="376"/>
      <c r="F327" s="376"/>
      <c r="G327" s="376"/>
      <c r="H327" s="376"/>
      <c r="I327" s="376"/>
      <c r="J327" s="376"/>
      <c r="K327" s="373" t="s">
        <v>684</v>
      </c>
      <c r="L327" s="200"/>
      <c r="M327" s="387"/>
      <c r="N327" s="387"/>
      <c r="O327" s="387"/>
      <c r="P327" s="388"/>
      <c r="Q327" s="85"/>
    </row>
    <row r="328" spans="1:17" x14ac:dyDescent="0.25">
      <c r="A328" s="242"/>
      <c r="B328" s="168" t="s">
        <v>661</v>
      </c>
      <c r="C328" s="79"/>
      <c r="D328" s="79"/>
      <c r="E328" s="79"/>
      <c r="F328" s="79"/>
      <c r="G328" s="79"/>
      <c r="H328" s="79"/>
      <c r="I328" s="79"/>
      <c r="J328" s="79"/>
      <c r="K328" s="374" t="s">
        <v>662</v>
      </c>
      <c r="L328" s="481"/>
      <c r="M328" s="482"/>
      <c r="N328" s="482"/>
      <c r="O328" s="482"/>
      <c r="P328" s="483"/>
      <c r="Q328" s="85"/>
    </row>
    <row r="329" spans="1:17" x14ac:dyDescent="0.25">
      <c r="Q329" s="51"/>
    </row>
    <row r="330" spans="1:17" x14ac:dyDescent="0.25">
      <c r="A330" s="53" t="s">
        <v>313</v>
      </c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4"/>
      <c r="M330" s="54"/>
      <c r="N330" s="54"/>
      <c r="O330" s="54"/>
      <c r="P330" s="54"/>
      <c r="Q330" s="51"/>
    </row>
    <row r="331" spans="1:17" x14ac:dyDescent="0.25">
      <c r="Q331" s="51"/>
    </row>
    <row r="332" spans="1:17" x14ac:dyDescent="0.25">
      <c r="A332" s="55"/>
      <c r="B332" s="55"/>
      <c r="C332" s="174"/>
      <c r="D332" s="234"/>
      <c r="E332" s="234"/>
      <c r="F332" s="234"/>
      <c r="G332" s="234"/>
      <c r="H332" s="250"/>
      <c r="I332" s="55" t="s">
        <v>322</v>
      </c>
      <c r="J332" s="487"/>
      <c r="K332" s="488"/>
      <c r="L332" s="488"/>
      <c r="M332" s="488"/>
      <c r="N332" s="488"/>
      <c r="O332" s="489"/>
      <c r="Q332" s="51"/>
    </row>
    <row r="333" spans="1:17" x14ac:dyDescent="0.25">
      <c r="A333" s="56"/>
      <c r="B333" s="56"/>
      <c r="C333" s="190"/>
      <c r="D333" s="252"/>
      <c r="E333" s="252"/>
      <c r="F333" s="252"/>
      <c r="G333" s="252"/>
      <c r="H333" s="253"/>
      <c r="I333" s="56" t="s">
        <v>323</v>
      </c>
      <c r="J333" s="490"/>
      <c r="K333" s="491"/>
      <c r="L333" s="491"/>
      <c r="M333" s="491"/>
      <c r="N333" s="491"/>
      <c r="O333" s="492"/>
      <c r="Q333" s="51"/>
    </row>
    <row r="334" spans="1:17" x14ac:dyDescent="0.25">
      <c r="A334" s="57" t="s">
        <v>42</v>
      </c>
      <c r="B334" s="57" t="s">
        <v>321</v>
      </c>
      <c r="C334" s="191"/>
      <c r="D334" s="235"/>
      <c r="E334" s="235"/>
      <c r="F334" s="235"/>
      <c r="G334" s="235"/>
      <c r="H334" s="274"/>
      <c r="I334" s="57" t="s">
        <v>123</v>
      </c>
      <c r="J334" s="493" t="s">
        <v>90</v>
      </c>
      <c r="K334" s="494"/>
      <c r="L334" s="494"/>
      <c r="M334" s="494"/>
      <c r="N334" s="494"/>
      <c r="O334" s="495"/>
      <c r="Q334" s="51"/>
    </row>
    <row r="335" spans="1:17" x14ac:dyDescent="0.25">
      <c r="A335" s="133">
        <v>1</v>
      </c>
      <c r="B335" s="133" t="s">
        <v>319</v>
      </c>
      <c r="C335" s="240" t="s">
        <v>320</v>
      </c>
      <c r="D335" s="216"/>
      <c r="E335" s="216"/>
      <c r="F335" s="216"/>
      <c r="G335" s="216"/>
      <c r="H335" s="217"/>
      <c r="I335" s="105"/>
      <c r="J335" s="453"/>
      <c r="K335" s="454"/>
      <c r="L335" s="454"/>
      <c r="M335" s="454"/>
      <c r="N335" s="454"/>
      <c r="O335" s="455"/>
      <c r="Q335" s="51"/>
    </row>
    <row r="336" spans="1:17" x14ac:dyDescent="0.25">
      <c r="A336" s="275">
        <v>2</v>
      </c>
      <c r="B336" s="223" t="s">
        <v>404</v>
      </c>
      <c r="C336" s="168" t="s">
        <v>447</v>
      </c>
      <c r="D336" s="168"/>
      <c r="E336" s="168"/>
      <c r="F336" s="168"/>
      <c r="G336" s="168"/>
      <c r="H336" s="168"/>
      <c r="I336" s="107"/>
      <c r="J336" s="444"/>
      <c r="K336" s="445"/>
      <c r="L336" s="445"/>
      <c r="M336" s="445"/>
      <c r="N336" s="445"/>
      <c r="O336" s="446"/>
      <c r="Q336" s="51"/>
    </row>
  </sheetData>
  <sheetProtection sheet="1" objects="1" scenarios="1"/>
  <mergeCells count="285">
    <mergeCell ref="C1:E1"/>
    <mergeCell ref="C2:E2"/>
    <mergeCell ref="C3:E3"/>
    <mergeCell ref="C4:E4"/>
    <mergeCell ref="C5:E5"/>
    <mergeCell ref="J1:L1"/>
    <mergeCell ref="J2:L2"/>
    <mergeCell ref="J3:L3"/>
    <mergeCell ref="J4:L4"/>
    <mergeCell ref="J5:L5"/>
    <mergeCell ref="P1:Q1"/>
    <mergeCell ref="P2:Q2"/>
    <mergeCell ref="P3:Q3"/>
    <mergeCell ref="P4:Q4"/>
    <mergeCell ref="P5:Q5"/>
    <mergeCell ref="N12:Q12"/>
    <mergeCell ref="N72:Q72"/>
    <mergeCell ref="N45:Q45"/>
    <mergeCell ref="N13:Q13"/>
    <mergeCell ref="N14:Q14"/>
    <mergeCell ref="N15:Q15"/>
    <mergeCell ref="N16:Q16"/>
    <mergeCell ref="B213:D213"/>
    <mergeCell ref="B152:D152"/>
    <mergeCell ref="N169:Q169"/>
    <mergeCell ref="N170:Q170"/>
    <mergeCell ref="N171:Q171"/>
    <mergeCell ref="N172:Q172"/>
    <mergeCell ref="N173:Q173"/>
    <mergeCell ref="N174:Q174"/>
    <mergeCell ref="N175:Q175"/>
    <mergeCell ref="N176:Q176"/>
    <mergeCell ref="S301:U301"/>
    <mergeCell ref="S302:U302"/>
    <mergeCell ref="S303:U303"/>
    <mergeCell ref="S304:U304"/>
    <mergeCell ref="L319:P319"/>
    <mergeCell ref="L320:P320"/>
    <mergeCell ref="L253:P253"/>
    <mergeCell ref="S294:U294"/>
    <mergeCell ref="S295:U295"/>
    <mergeCell ref="S296:U296"/>
    <mergeCell ref="S297:U297"/>
    <mergeCell ref="S298:U298"/>
    <mergeCell ref="S299:U299"/>
    <mergeCell ref="S300:U300"/>
    <mergeCell ref="U213:W213"/>
    <mergeCell ref="N93:Q93"/>
    <mergeCell ref="N94:Q94"/>
    <mergeCell ref="N96:Q96"/>
    <mergeCell ref="N97:Q97"/>
    <mergeCell ref="N98:Q98"/>
    <mergeCell ref="N102:Q102"/>
    <mergeCell ref="N103:Q103"/>
    <mergeCell ref="N104:Q104"/>
    <mergeCell ref="N159:Q159"/>
    <mergeCell ref="L219:P219"/>
    <mergeCell ref="T129:V129"/>
    <mergeCell ref="T130:V130"/>
    <mergeCell ref="T131:V131"/>
    <mergeCell ref="T132:V132"/>
    <mergeCell ref="T133:V133"/>
    <mergeCell ref="T134:V134"/>
    <mergeCell ref="T135:V135"/>
    <mergeCell ref="T136:V136"/>
    <mergeCell ref="T137:V137"/>
    <mergeCell ref="B148:D148"/>
    <mergeCell ref="B149:D149"/>
    <mergeCell ref="B150:D150"/>
    <mergeCell ref="B151:D151"/>
    <mergeCell ref="U206:W206"/>
    <mergeCell ref="N95:Q95"/>
    <mergeCell ref="B129:D129"/>
    <mergeCell ref="B130:D130"/>
    <mergeCell ref="B131:D131"/>
    <mergeCell ref="B132:D132"/>
    <mergeCell ref="B133:D133"/>
    <mergeCell ref="B134:D134"/>
    <mergeCell ref="B206:D206"/>
    <mergeCell ref="T151:V151"/>
    <mergeCell ref="T152:V152"/>
    <mergeCell ref="T138:V138"/>
    <mergeCell ref="T143:V143"/>
    <mergeCell ref="T144:V144"/>
    <mergeCell ref="T145:V145"/>
    <mergeCell ref="T146:V146"/>
    <mergeCell ref="T147:V147"/>
    <mergeCell ref="T148:V148"/>
    <mergeCell ref="T149:V149"/>
    <mergeCell ref="T150:V150"/>
    <mergeCell ref="B135:D135"/>
    <mergeCell ref="B136:D136"/>
    <mergeCell ref="B137:D137"/>
    <mergeCell ref="B138:D138"/>
    <mergeCell ref="B143:D143"/>
    <mergeCell ref="B144:D144"/>
    <mergeCell ref="B145:D145"/>
    <mergeCell ref="B146:D146"/>
    <mergeCell ref="B147:D147"/>
    <mergeCell ref="B271:D271"/>
    <mergeCell ref="B272:D272"/>
    <mergeCell ref="B273:D273"/>
    <mergeCell ref="B274:D274"/>
    <mergeCell ref="B275:D275"/>
    <mergeCell ref="B276:D276"/>
    <mergeCell ref="B277:D277"/>
    <mergeCell ref="B278:D278"/>
    <mergeCell ref="B279:D279"/>
    <mergeCell ref="B280:D280"/>
    <mergeCell ref="B281:D281"/>
    <mergeCell ref="B282:D282"/>
    <mergeCell ref="B283:D283"/>
    <mergeCell ref="B284:D284"/>
    <mergeCell ref="B285:D285"/>
    <mergeCell ref="B286:D286"/>
    <mergeCell ref="B287:D287"/>
    <mergeCell ref="B288:D288"/>
    <mergeCell ref="B289:D289"/>
    <mergeCell ref="B290:D290"/>
    <mergeCell ref="B294:D294"/>
    <mergeCell ref="B295:D295"/>
    <mergeCell ref="B296:D296"/>
    <mergeCell ref="B297:D297"/>
    <mergeCell ref="B298:D298"/>
    <mergeCell ref="B299:D299"/>
    <mergeCell ref="B300:D300"/>
    <mergeCell ref="B301:D301"/>
    <mergeCell ref="B302:D302"/>
    <mergeCell ref="B303:D303"/>
    <mergeCell ref="B304:D304"/>
    <mergeCell ref="B305:D305"/>
    <mergeCell ref="B306:D306"/>
    <mergeCell ref="B307:D307"/>
    <mergeCell ref="B308:D308"/>
    <mergeCell ref="B309:D309"/>
    <mergeCell ref="B310:D310"/>
    <mergeCell ref="B311:D311"/>
    <mergeCell ref="B312:D312"/>
    <mergeCell ref="B313:D313"/>
    <mergeCell ref="S271:U271"/>
    <mergeCell ref="S272:U272"/>
    <mergeCell ref="S273:U273"/>
    <mergeCell ref="S274:U274"/>
    <mergeCell ref="S275:U275"/>
    <mergeCell ref="S276:U276"/>
    <mergeCell ref="S277:U277"/>
    <mergeCell ref="S278:U278"/>
    <mergeCell ref="S279:U279"/>
    <mergeCell ref="S280:U280"/>
    <mergeCell ref="S281:U281"/>
    <mergeCell ref="S282:U282"/>
    <mergeCell ref="S283:U283"/>
    <mergeCell ref="S284:U284"/>
    <mergeCell ref="S285:U285"/>
    <mergeCell ref="S286:U286"/>
    <mergeCell ref="S287:U287"/>
    <mergeCell ref="S288:U288"/>
    <mergeCell ref="S289:U289"/>
    <mergeCell ref="S290:U290"/>
    <mergeCell ref="J332:O332"/>
    <mergeCell ref="J333:O333"/>
    <mergeCell ref="J334:O334"/>
    <mergeCell ref="J335:O335"/>
    <mergeCell ref="J336:O336"/>
    <mergeCell ref="S305:U305"/>
    <mergeCell ref="S306:U306"/>
    <mergeCell ref="S307:U307"/>
    <mergeCell ref="S308:U308"/>
    <mergeCell ref="S309:U309"/>
    <mergeCell ref="S310:U310"/>
    <mergeCell ref="S311:U311"/>
    <mergeCell ref="S312:U312"/>
    <mergeCell ref="S313:U313"/>
    <mergeCell ref="L325:P325"/>
    <mergeCell ref="L326:P326"/>
    <mergeCell ref="L328:P328"/>
    <mergeCell ref="N105:Q105"/>
    <mergeCell ref="N106:Q106"/>
    <mergeCell ref="N107:Q107"/>
    <mergeCell ref="N108:Q108"/>
    <mergeCell ref="N109:Q109"/>
    <mergeCell ref="N110:Q110"/>
    <mergeCell ref="L243:P243"/>
    <mergeCell ref="L244:P244"/>
    <mergeCell ref="L245:P245"/>
    <mergeCell ref="L246:P246"/>
    <mergeCell ref="L247:P247"/>
    <mergeCell ref="N167:Q167"/>
    <mergeCell ref="N168:Q168"/>
    <mergeCell ref="N17:Q17"/>
    <mergeCell ref="N18:Q18"/>
    <mergeCell ref="N19:Q19"/>
    <mergeCell ref="N20:Q20"/>
    <mergeCell ref="N21:Q21"/>
    <mergeCell ref="N22:Q22"/>
    <mergeCell ref="N23:Q23"/>
    <mergeCell ref="N24:Q24"/>
    <mergeCell ref="N25:Q25"/>
    <mergeCell ref="N26:Q26"/>
    <mergeCell ref="N27:Q27"/>
    <mergeCell ref="N28:Q28"/>
    <mergeCell ref="N29:Q29"/>
    <mergeCell ref="N30:Q30"/>
    <mergeCell ref="N31:Q31"/>
    <mergeCell ref="N32:Q32"/>
    <mergeCell ref="N33:Q33"/>
    <mergeCell ref="N34:Q34"/>
    <mergeCell ref="N35:Q35"/>
    <mergeCell ref="N36:Q36"/>
    <mergeCell ref="N37:Q37"/>
    <mergeCell ref="N38:Q38"/>
    <mergeCell ref="N39:Q39"/>
    <mergeCell ref="N40:Q40"/>
    <mergeCell ref="N41:Q41"/>
    <mergeCell ref="N42:Q42"/>
    <mergeCell ref="N43:Q43"/>
    <mergeCell ref="N73:Q73"/>
    <mergeCell ref="N74:Q74"/>
    <mergeCell ref="N75:Q75"/>
    <mergeCell ref="N76:Q76"/>
    <mergeCell ref="N77:Q77"/>
    <mergeCell ref="N78:Q78"/>
    <mergeCell ref="N79:Q79"/>
    <mergeCell ref="N80:Q80"/>
    <mergeCell ref="N81:Q81"/>
    <mergeCell ref="N82:Q82"/>
    <mergeCell ref="N83:Q83"/>
    <mergeCell ref="N84:Q84"/>
    <mergeCell ref="N85:Q85"/>
    <mergeCell ref="N86:Q86"/>
    <mergeCell ref="N87:Q87"/>
    <mergeCell ref="N88:Q88"/>
    <mergeCell ref="N89:Q89"/>
    <mergeCell ref="N90:Q90"/>
    <mergeCell ref="N91:Q91"/>
    <mergeCell ref="N92:Q92"/>
    <mergeCell ref="N160:Q160"/>
    <mergeCell ref="N161:Q161"/>
    <mergeCell ref="N162:Q162"/>
    <mergeCell ref="N163:Q163"/>
    <mergeCell ref="N164:Q164"/>
    <mergeCell ref="N165:Q165"/>
    <mergeCell ref="N166:Q166"/>
    <mergeCell ref="N112:Q112"/>
    <mergeCell ref="N99:Q99"/>
    <mergeCell ref="N100:Q100"/>
    <mergeCell ref="N101:Q101"/>
    <mergeCell ref="N177:Q177"/>
    <mergeCell ref="N178:Q178"/>
    <mergeCell ref="N179:Q179"/>
    <mergeCell ref="N180:Q180"/>
    <mergeCell ref="L220:P220"/>
    <mergeCell ref="L221:P221"/>
    <mergeCell ref="L222:P222"/>
    <mergeCell ref="L223:P223"/>
    <mergeCell ref="L224:P224"/>
    <mergeCell ref="N182:Q182"/>
    <mergeCell ref="L225:P225"/>
    <mergeCell ref="L226:P226"/>
    <mergeCell ref="L227:P227"/>
    <mergeCell ref="L228:P228"/>
    <mergeCell ref="L229:P229"/>
    <mergeCell ref="L230:P230"/>
    <mergeCell ref="L231:P231"/>
    <mergeCell ref="L232:P232"/>
    <mergeCell ref="L233:P233"/>
    <mergeCell ref="L234:P234"/>
    <mergeCell ref="L235:P235"/>
    <mergeCell ref="L236:P236"/>
    <mergeCell ref="L237:P237"/>
    <mergeCell ref="L238:P238"/>
    <mergeCell ref="L239:P239"/>
    <mergeCell ref="L240:P240"/>
    <mergeCell ref="L241:P241"/>
    <mergeCell ref="L242:P242"/>
    <mergeCell ref="L248:P248"/>
    <mergeCell ref="L249:P249"/>
    <mergeCell ref="L250:P250"/>
    <mergeCell ref="L251:P251"/>
    <mergeCell ref="L252:P252"/>
    <mergeCell ref="L321:P321"/>
    <mergeCell ref="L322:P322"/>
    <mergeCell ref="L323:P323"/>
    <mergeCell ref="L324:P324"/>
    <mergeCell ref="L255:P255"/>
  </mergeCells>
  <conditionalFormatting sqref="A55">
    <cfRule type="expression" dxfId="130" priority="69">
      <formula>$A$53="cirkulær"</formula>
    </cfRule>
  </conditionalFormatting>
  <conditionalFormatting sqref="J64:J66">
    <cfRule type="expression" dxfId="124" priority="25">
      <formula>"$A$109=""KAP meter"""</formula>
    </cfRule>
  </conditionalFormatting>
  <conditionalFormatting sqref="M64:M66">
    <cfRule type="cellIs" dxfId="123" priority="28" operator="equal">
      <formula>"IKKE OK"</formula>
    </cfRule>
    <cfRule type="cellIs" dxfId="122" priority="29" operator="equal">
      <formula>"OK"</formula>
    </cfRule>
  </conditionalFormatting>
  <conditionalFormatting sqref="N64:N66">
    <cfRule type="cellIs" dxfId="121" priority="23" operator="equal">
      <formula>"nej"</formula>
    </cfRule>
    <cfRule type="cellIs" dxfId="120" priority="24" operator="equal">
      <formula>"ja"</formula>
    </cfRule>
  </conditionalFormatting>
  <conditionalFormatting sqref="N271:N290">
    <cfRule type="cellIs" dxfId="119" priority="137" operator="equal">
      <formula>"OK"</formula>
    </cfRule>
    <cfRule type="cellIs" dxfId="118" priority="136" operator="equal">
      <formula>"IKKE OK"</formula>
    </cfRule>
  </conditionalFormatting>
  <conditionalFormatting sqref="N294:N313">
    <cfRule type="cellIs" dxfId="117" priority="3" operator="equal">
      <formula>"IKKE OK"</formula>
    </cfRule>
    <cfRule type="cellIs" dxfId="116" priority="4" operator="equal">
      <formula>"OK"</formula>
    </cfRule>
  </conditionalFormatting>
  <conditionalFormatting sqref="P64:P66">
    <cfRule type="cellIs" dxfId="115" priority="26" operator="equal">
      <formula>"IKKE OK"</formula>
    </cfRule>
    <cfRule type="cellIs" dxfId="114" priority="27" operator="equal">
      <formula>"OK"</formula>
    </cfRule>
  </conditionalFormatting>
  <conditionalFormatting sqref="P206">
    <cfRule type="cellIs" dxfId="113" priority="73" operator="equal">
      <formula>"IKKE OK"</formula>
    </cfRule>
    <cfRule type="cellIs" dxfId="112" priority="74" operator="equal">
      <formula>"OK"</formula>
    </cfRule>
  </conditionalFormatting>
  <conditionalFormatting sqref="P271:P290">
    <cfRule type="cellIs" dxfId="111" priority="122" operator="equal">
      <formula>"OK"</formula>
    </cfRule>
    <cfRule type="cellIs" dxfId="110" priority="121" operator="equal">
      <formula>"IKKE OK"</formula>
    </cfRule>
  </conditionalFormatting>
  <conditionalFormatting sqref="P294:P313">
    <cfRule type="cellIs" dxfId="109" priority="117" operator="equal">
      <formula>"IKKE OK"</formula>
    </cfRule>
    <cfRule type="cellIs" dxfId="108" priority="118" operator="equal">
      <formula>"OK"</formula>
    </cfRule>
  </conditionalFormatting>
  <conditionalFormatting sqref="Q129:Q139 Q143:Q152 I335:I336">
    <cfRule type="cellIs" dxfId="107" priority="142" operator="equal">
      <formula>"IKKE OK"</formula>
    </cfRule>
    <cfRule type="cellIs" dxfId="106" priority="143" operator="equal">
      <formula>"OK"</formula>
    </cfRule>
  </conditionalFormatting>
  <conditionalFormatting sqref="R213:S213">
    <cfRule type="cellIs" dxfId="105" priority="60" operator="equal">
      <formula>"IKKE OK"</formula>
    </cfRule>
    <cfRule type="cellIs" dxfId="104" priority="61" operator="equal">
      <formula>"OK"</formula>
    </cfRule>
  </conditionalFormatting>
  <conditionalFormatting sqref="AB64:AB66">
    <cfRule type="expression" dxfId="100" priority="18">
      <formula>"$A$109=""KAP meter"""</formula>
    </cfRule>
  </conditionalFormatting>
  <conditionalFormatting sqref="AE64:AE66">
    <cfRule type="cellIs" dxfId="99" priority="20" operator="equal">
      <formula>"OK"</formula>
    </cfRule>
    <cfRule type="cellIs" dxfId="98" priority="19" operator="equal">
      <formula>"IKKE OK"</formula>
    </cfRule>
  </conditionalFormatting>
  <conditionalFormatting sqref="AE271:AE290">
    <cfRule type="cellIs" dxfId="97" priority="5" operator="equal">
      <formula>"IKKE OK"</formula>
    </cfRule>
    <cfRule type="cellIs" dxfId="96" priority="6" operator="equal">
      <formula>"OK"</formula>
    </cfRule>
  </conditionalFormatting>
  <conditionalFormatting sqref="AE294:AE313">
    <cfRule type="cellIs" dxfId="95" priority="1" operator="equal">
      <formula>"IKKE OK"</formula>
    </cfRule>
    <cfRule type="cellIs" dxfId="94" priority="2" operator="equal">
      <formula>"OK"</formula>
    </cfRule>
  </conditionalFormatting>
  <conditionalFormatting sqref="AF64:AF66">
    <cfRule type="cellIs" dxfId="93" priority="17" operator="equal">
      <formula>"ja"</formula>
    </cfRule>
    <cfRule type="cellIs" dxfId="92" priority="16" operator="equal">
      <formula>"nej"</formula>
    </cfRule>
  </conditionalFormatting>
  <conditionalFormatting sqref="AG271:AG290">
    <cfRule type="cellIs" dxfId="89" priority="84" operator="equal">
      <formula>"OK"</formula>
    </cfRule>
    <cfRule type="cellIs" dxfId="88" priority="83" operator="equal">
      <formula>"IKKE OK"</formula>
    </cfRule>
  </conditionalFormatting>
  <conditionalFormatting sqref="AG294:AG313">
    <cfRule type="cellIs" dxfId="87" priority="81" operator="equal">
      <formula>"IKKE OK"</formula>
    </cfRule>
    <cfRule type="cellIs" dxfId="86" priority="82" operator="equal">
      <formula>"OK"</formula>
    </cfRule>
  </conditionalFormatting>
  <conditionalFormatting sqref="AI129:AI138">
    <cfRule type="cellIs" dxfId="85" priority="10" operator="equal">
      <formula>"OK"</formula>
    </cfRule>
  </conditionalFormatting>
  <conditionalFormatting sqref="AI129:AI139">
    <cfRule type="cellIs" dxfId="84" priority="9" operator="equal">
      <formula>"IKKE OK"</formula>
    </cfRule>
  </conditionalFormatting>
  <conditionalFormatting sqref="AI143:AI152">
    <cfRule type="cellIs" dxfId="83" priority="7" operator="equal">
      <formula>"IKKE OK"</formula>
    </cfRule>
    <cfRule type="cellIs" dxfId="82" priority="8" operator="equal">
      <formula>"OK"</formula>
    </cfRule>
  </conditionalFormatting>
  <conditionalFormatting sqref="AI206">
    <cfRule type="cellIs" dxfId="81" priority="46" operator="equal">
      <formula>"OK"</formula>
    </cfRule>
    <cfRule type="cellIs" dxfId="80" priority="45" operator="equal">
      <formula>"IKKE OK"</formula>
    </cfRule>
  </conditionalFormatting>
  <conditionalFormatting sqref="AK213">
    <cfRule type="cellIs" dxfId="79" priority="43" operator="equal">
      <formula>"IKKE OK"</formula>
    </cfRule>
    <cfRule type="cellIs" dxfId="78" priority="44" operator="equal">
      <formula>"OK"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09ABD05C-4008-4C0E-96D6-F240AB30E782}">
            <xm:f>OR(Oplysningsside!$B$15="C bue",Oplysningsside!$B$15="Mini C bue",Oplysningsside!$B$15="Intervention",Oplysningsside!$B$15="R/F system")</xm:f>
            <x14:dxf>
              <font>
                <color theme="0"/>
              </font>
              <fill>
                <patternFill>
                  <bgColor theme="0" tint="-4.9989318521683403E-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</border>
            </x14:dxf>
          </x14:cfRule>
          <xm:sqref>A59</xm:sqref>
        </x14:conditionalFormatting>
        <x14:conditionalFormatting xmlns:xm="http://schemas.microsoft.com/office/excel/2006/main">
          <x14:cfRule type="expression" priority="93" id="{D55E94CD-0ED5-4B4B-93ED-03F234404025}">
            <xm:f>OR(Oplysningsside!$B$15="C bue",Oplysningsside!$B$15="Mini C bue",Oplysningsside!$B$15="Intervention",Oplysningsside!$B$15="R/F system")</xm:f>
            <x14:dxf>
              <font>
                <color theme="0"/>
              </font>
              <fill>
                <patternFill>
                  <bgColor theme="0" tint="-4.9989318521683403E-2"/>
                </patternFill>
              </fill>
              <border>
                <left style="thin">
                  <color auto="1"/>
                </left>
                <right/>
                <top/>
                <bottom style="thin">
                  <color auto="1"/>
                </bottom>
                <vertical/>
                <horizontal/>
              </border>
            </x14:dxf>
          </x14:cfRule>
          <xm:sqref>B124</xm:sqref>
        </x14:conditionalFormatting>
        <x14:conditionalFormatting xmlns:xm="http://schemas.microsoft.com/office/excel/2006/main">
          <x14:cfRule type="expression" priority="88" id="{5EF91740-D9E8-4493-880C-B6E65926D36B}">
            <xm:f>OR(Oplysningsside!$B$15="C bue",Oplysningsside!$B$15="Mini C bue",Oplysningsside!$B$15="Intervention",Oplysningsside!$B$15="R/F system")</xm:f>
            <x14:dxf>
              <font>
                <color theme="0"/>
              </font>
              <fill>
                <patternFill>
                  <bgColor theme="0" tint="-4.9989318521683403E-2"/>
                </patternFill>
              </fill>
              <border>
                <left style="thin">
                  <color auto="1"/>
                </left>
                <right/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B200</xm:sqref>
        </x14:conditionalFormatting>
        <x14:conditionalFormatting xmlns:xm="http://schemas.microsoft.com/office/excel/2006/main">
          <x14:cfRule type="expression" priority="77" id="{C9B3A3F4-CD31-45FF-992F-956981C6FED1}">
            <xm:f>OR(Oplysningsside!$B$15="C bue",Oplysningsside!$B$15="Mini C bue",Oplysningsside!$B$15="Intervention",Oplysningsside!$B$15="R/F system")</xm:f>
            <x14:dxf>
              <font>
                <color theme="0"/>
              </font>
              <fill>
                <patternFill>
                  <bgColor theme="0" tint="-4.9989318521683403E-2"/>
                </patternFill>
              </fill>
              <border>
                <left style="thin">
                  <color auto="1"/>
                </left>
                <right/>
                <top/>
                <bottom style="thin">
                  <color auto="1"/>
                </bottom>
                <vertical/>
                <horizontal/>
              </border>
            </x14:dxf>
          </x14:cfRule>
          <xm:sqref>B267</xm:sqref>
        </x14:conditionalFormatting>
        <x14:conditionalFormatting xmlns:xm="http://schemas.microsoft.com/office/excel/2006/main">
          <x14:cfRule type="expression" priority="21" id="{8682381B-5F31-42E1-8285-D95C9BE44315}">
            <xm:f>OR(Oplysningsside!$B$15="C bue",Oplysningsside!$B$15="Mini C bue",Oplysningsside!$B$15="Intervention",Oplysningsside!$B$15="R/F system")</xm:f>
            <x14:dxf>
              <font>
                <color theme="0"/>
              </font>
              <fill>
                <patternFill patternType="solid">
                  <bgColor theme="0" tint="-4.9989318521683403E-2"/>
                </patternFill>
              </fill>
              <border>
                <left style="thin">
                  <color auto="1"/>
                </left>
                <right/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D59</xm:sqref>
        </x14:conditionalFormatting>
        <x14:conditionalFormatting xmlns:xm="http://schemas.microsoft.com/office/excel/2006/main">
          <x14:cfRule type="expression" priority="15" id="{7C80780D-8A64-40DB-AC00-05E72F293AE3}">
            <xm:f>OR(Oplysningsside!$B$15="C bue",Oplysningsside!$B$15="Mini C bue",Oplysningsside!$B$15="Intervention",Oplysningsside!$B$15="R/F system")</xm:f>
            <x14:dxf>
              <font>
                <color theme="0"/>
              </font>
              <fill>
                <patternFill patternType="solid">
                  <bgColor theme="0" tint="-4.9989318521683403E-2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S59:AF66</xm:sqref>
        </x14:conditionalFormatting>
        <x14:conditionalFormatting xmlns:xm="http://schemas.microsoft.com/office/excel/2006/main">
          <x14:cfRule type="expression" priority="94" id="{C10BDF8A-D7D5-4A32-9585-59BC03B45982}">
            <xm:f>OR(Oplysningsside!$B$15="C bue",Oplysningsside!$B$15="Mini C bue",Oplysningsside!$B$15="Intervention",Oplysningsside!$B$15="R/F system")</xm:f>
            <x14:dxf>
              <font>
                <color theme="0"/>
              </font>
              <fill>
                <patternFill>
                  <bgColor theme="0" tint="-4.9989318521683403E-2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S139:AI142 S124:AI128 S129:T138 W129:AF138 AH129:AH138 S143:T152 W143:AF152 AH143:AH152</xm:sqref>
        </x14:conditionalFormatting>
        <x14:conditionalFormatting xmlns:xm="http://schemas.microsoft.com/office/excel/2006/main">
          <x14:cfRule type="expression" priority="76" id="{A6CE192C-5E80-48CA-A751-09EC644807C9}">
            <xm:f>OR(Oplysningsside!$B$15="C bue",Oplysningsside!$B$15="Mini C bue",Oplysningsside!$B$15="Intervention",Oplysningsside!$B$15="R/F system")</xm:f>
            <x14:dxf>
              <font>
                <color theme="0"/>
              </font>
              <fill>
                <patternFill>
                  <bgColor theme="0" tint="-4.9989318521683403E-2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T200:AK213 R259:AG270 R271:AB290 AF271:AG290 R291:AG293 R294:AC313 AF294:AG313</xm:sqref>
        </x14:conditionalFormatting>
        <x14:conditionalFormatting xmlns:xm="http://schemas.microsoft.com/office/excel/2006/main">
          <x14:cfRule type="expression" priority="75" id="{D5532A35-062B-4EC2-A408-C9B85B365682}">
            <xm:f>OR(Oplysningsside!$B$15="C bue",Oplysningsside!$B$15="Mini C Bue",Oplysningsside!$B$15="Intervention",Oplysningsside!$B$15="R/F system")</xm:f>
            <x14:dxf>
              <font>
                <color theme="0"/>
              </font>
              <fill>
                <patternFill>
                  <bgColor theme="0" tint="-4.9989318521683403E-2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AF259:AG267</xm:sqref>
        </x14:conditionalFormatting>
        <x14:conditionalFormatting xmlns:xm="http://schemas.microsoft.com/office/excel/2006/main">
          <x14:cfRule type="expression" priority="78" id="{4DB64027-5A6E-4C8A-8D3C-44D5C7DF81A4}">
            <xm:f>OR(Oplysningsside!$B$15="C bue",Oplysningsside!$B$15="Mini C bue",Oplysningsside!$B$15="Intervention",Oplysningsside!$B$15="R/F system")</xm:f>
            <x14:dxf>
              <font>
                <color theme="0"/>
              </font>
              <fill>
                <patternFill>
                  <bgColor theme="0" tint="-4.9989318521683403E-2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AG271:AG272 R271:R273 R274:S290 V274:AB290 AG294:AG297 V295:AB313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 xr:uid="{FA796F5C-5897-42B0-B583-DBA856A4B188}">
          <x14:formula1>
            <xm:f>Data!$A$5:$A$8</xm:f>
          </x14:formula1>
          <xm:sqref>A192 Y213 Y206 F206 G139 A50 A261:A262 F213 F129:F139 X129:X139 Y139 A117:A118 K50:K52</xm:sqref>
        </x14:dataValidation>
        <x14:dataValidation type="list" allowBlank="1" showDropDown="1" showInputMessage="1" showErrorMessage="1" xr:uid="{A9FEFE02-A932-4F43-A5A9-2DF0A548B74A}">
          <x14:formula1>
            <xm:f>Data!$F$5:$F$10</xm:f>
          </x14:formula1>
          <xm:sqref>A116 A259 A189</xm:sqref>
        </x14:dataValidation>
        <x14:dataValidation type="list" allowBlank="1" showInputMessage="1" showErrorMessage="1" xr:uid="{A88A8EDF-7779-41B4-822E-6C8267D79667}">
          <x14:formula1>
            <xm:f>Data!$L$5:$L$7</xm:f>
          </x14:formula1>
          <xm:sqref>A122 A53 A263 A195:A196</xm:sqref>
        </x14:dataValidation>
        <x14:dataValidation type="list" allowBlank="1" showInputMessage="1" showErrorMessage="1" xr:uid="{79EABF28-6795-4108-9B6C-20C2C79FEB50}">
          <x14:formula1>
            <xm:f>Data!$A$10:$A$14</xm:f>
          </x14:formula1>
          <xm:sqref>P294:P313 AG271:AG290 P271:P290 AG294:AG313</xm:sqref>
        </x14:dataValidation>
        <x14:dataValidation type="list" allowBlank="1" showInputMessage="1" showErrorMessage="1" xr:uid="{2C264EF4-037D-4166-97AA-D0B207AA5C78}">
          <x14:formula1>
            <xm:f>Data!$O$5:$O$7</xm:f>
          </x14:formula1>
          <xm:sqref>F49</xm:sqref>
        </x14:dataValidation>
        <x14:dataValidation type="list" allowBlank="1" showInputMessage="1" showErrorMessage="1" xr:uid="{6669A7AB-C65D-42B7-B1D8-7D0F17D1FB4D}">
          <x14:formula1>
            <xm:f>Data!$C$9:$C$12</xm:f>
          </x14:formula1>
          <xm:sqref>A51</xm:sqref>
        </x14:dataValidation>
        <x14:dataValidation type="list" allowBlank="1" showInputMessage="1" showErrorMessage="1" xr:uid="{132A79E2-2A47-4FE1-B6FE-70876EC995F2}">
          <x14:formula1>
            <xm:f>Data!$C$14:$C$16</xm:f>
          </x14:formula1>
          <xm:sqref>A120 A264 A193</xm:sqref>
        </x14:dataValidation>
        <x14:dataValidation type="list" allowBlank="1" showInputMessage="1" showErrorMessage="1" xr:uid="{B640531D-5701-4201-8064-0CB5574CAF7C}">
          <x14:formula1>
            <xm:f>Data!$O$10:$O$15</xm:f>
          </x14:formula1>
          <xm:sqref>F143:F152 X143:X152</xm:sqref>
        </x14:dataValidation>
        <x14:dataValidation type="list" allowBlank="1" showInputMessage="1" showErrorMessage="1" xr:uid="{243E72E2-4242-476F-868B-281DD12AA3BF}">
          <x14:formula1>
            <xm:f>Data!$A$18:$A$24</xm:f>
          </x14:formula1>
          <xm:sqref>I335:I336</xm:sqref>
        </x14:dataValidation>
        <x14:dataValidation type="list" allowBlank="1" showInputMessage="1" showErrorMessage="1" xr:uid="{B7240603-59A0-4C77-A986-B60FEDCC95AA}">
          <x14:formula1>
            <xm:f>Data!$C$18:$C$24</xm:f>
          </x14:formula1>
          <xm:sqref>F52 F57</xm:sqref>
        </x14:dataValidation>
        <x14:dataValidation type="list" allowBlank="1" showInputMessage="1" showErrorMessage="1" xr:uid="{25B5F58B-35DD-4A51-A80F-B56665A934DB}">
          <x14:formula1>
            <xm:f>Data!$E$18:$E$23</xm:f>
          </x14:formula1>
          <xm:sqref>F56 K197 K194 F53</xm:sqref>
        </x14:dataValidation>
        <x14:dataValidation type="list" allowBlank="1" showInputMessage="1" showErrorMessage="1" xr:uid="{20712CA8-D0D2-49CA-B7C5-8310D261FC39}">
          <x14:formula1>
            <xm:f>Data!$G$18:$G$23</xm:f>
          </x14:formula1>
          <xm:sqref>E199</xm:sqref>
        </x14:dataValidation>
        <x14:dataValidation type="list" allowBlank="1" showInputMessage="1" showErrorMessage="1" xr:uid="{505815AF-E029-4262-9940-A1FBFA7A95FA}">
          <x14:formula1>
            <xm:f>Data!$I$10:$I$12</xm:f>
          </x14:formula1>
          <xm:sqref>A121 A260 A194</xm:sqref>
        </x14:dataValidation>
        <x14:dataValidation type="list" allowBlank="1" showInputMessage="1" showErrorMessage="1" xr:uid="{7C647920-3A41-404B-AD2A-0B79E1A99233}">
          <x14:formula1>
            <xm:f>Data!$G$18:$G$26</xm:f>
          </x14:formula1>
          <xm:sqref>F54 K121 K195 K198 I262</xm:sqref>
        </x14:dataValidation>
        <x14:dataValidation type="list" allowBlank="1" showInputMessage="1" showErrorMessage="1" xr:uid="{20A0F309-B704-4138-B5A1-EAC318DF2048}">
          <x14:formula1>
            <xm:f>Data!$A$5:$A$7</xm:f>
          </x14:formula1>
          <xm:sqref>N44 N111 N181 L254 L327</xm:sqref>
        </x14:dataValidation>
        <x14:dataValidation type="list" showDropDown="1" showInputMessage="1" showErrorMessage="1" xr:uid="{7BAB62D4-7469-4634-B8A6-613B4F04E33C}">
          <x14:formula1>
            <xm:f>Data!$A$5:$A$8</xm:f>
          </x14:formula1>
          <xm:sqref>N64:N66 AF64:AF66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428AE-11DE-4CF2-9BC5-6606F8192D18}">
  <sheetPr>
    <tabColor rgb="FF92D050"/>
  </sheetPr>
  <dimension ref="A1:AA358"/>
  <sheetViews>
    <sheetView topLeftCell="A317" zoomScaleNormal="100" workbookViewId="0">
      <selection activeCell="W251" sqref="W251"/>
    </sheetView>
  </sheetViews>
  <sheetFormatPr defaultColWidth="9.140625" defaultRowHeight="15" x14ac:dyDescent="0.25"/>
  <cols>
    <col min="1" max="17" width="14.42578125" style="170" customWidth="1"/>
    <col min="18" max="18" width="9.140625" style="170"/>
    <col min="19" max="26" width="14.42578125" style="170" customWidth="1"/>
    <col min="27" max="27" width="14.28515625" style="170" customWidth="1"/>
    <col min="28" max="16384" width="9.140625" style="170"/>
  </cols>
  <sheetData>
    <row r="1" spans="1:18" x14ac:dyDescent="0.25">
      <c r="A1" s="24" t="s">
        <v>1</v>
      </c>
      <c r="B1" s="25"/>
      <c r="C1" s="462" t="str">
        <f>Oplysningsside!B2</f>
        <v/>
      </c>
      <c r="D1" s="462"/>
      <c r="E1" s="462"/>
      <c r="F1" s="25"/>
      <c r="G1" s="27" t="s">
        <v>3</v>
      </c>
      <c r="H1" s="25"/>
      <c r="I1" s="462" t="str">
        <f>Oplysningsside!E2</f>
        <v/>
      </c>
      <c r="J1" s="462"/>
      <c r="K1" s="462"/>
      <c r="L1" s="25"/>
      <c r="M1" s="27" t="s">
        <v>424</v>
      </c>
      <c r="N1" s="25"/>
      <c r="O1" s="420" t="str">
        <f>Oplysningsside!G2</f>
        <v/>
      </c>
      <c r="P1" s="420"/>
      <c r="Q1" s="28"/>
    </row>
    <row r="2" spans="1:18" x14ac:dyDescent="0.25">
      <c r="A2" s="29" t="s">
        <v>68</v>
      </c>
      <c r="B2" s="30"/>
      <c r="C2" s="463" t="str">
        <f>Oplysningsside!B3</f>
        <v/>
      </c>
      <c r="D2" s="463"/>
      <c r="E2" s="463"/>
      <c r="F2" s="30"/>
      <c r="G2" s="212" t="s">
        <v>125</v>
      </c>
      <c r="H2" s="212"/>
      <c r="I2" s="463" t="str">
        <f>Oplysningsside!E3</f>
        <v>Bi-plan</v>
      </c>
      <c r="J2" s="463"/>
      <c r="K2" s="463"/>
      <c r="L2" s="30"/>
      <c r="M2" s="32" t="s">
        <v>6</v>
      </c>
      <c r="N2" s="30"/>
      <c r="O2" s="468" t="str">
        <f>Oplysningsside!G3</f>
        <v/>
      </c>
      <c r="P2" s="468"/>
      <c r="Q2" s="33"/>
    </row>
    <row r="3" spans="1:18" x14ac:dyDescent="0.25">
      <c r="A3" s="34" t="s">
        <v>67</v>
      </c>
      <c r="B3" s="30"/>
      <c r="C3" s="463" t="str">
        <f>Oplysningsside!B4</f>
        <v/>
      </c>
      <c r="D3" s="463"/>
      <c r="E3" s="463"/>
      <c r="F3" s="30"/>
      <c r="G3" s="32" t="s">
        <v>5</v>
      </c>
      <c r="H3" s="30"/>
      <c r="I3" s="463" t="str">
        <f>Oplysningsside!E4</f>
        <v/>
      </c>
      <c r="J3" s="463"/>
      <c r="K3" s="463"/>
      <c r="L3" s="30"/>
      <c r="M3" s="32" t="s">
        <v>8</v>
      </c>
      <c r="N3" s="30"/>
      <c r="O3" s="421" t="str">
        <f>Oplysningsside!G4</f>
        <v/>
      </c>
      <c r="P3" s="421"/>
      <c r="Q3" s="33"/>
    </row>
    <row r="4" spans="1:18" x14ac:dyDescent="0.25">
      <c r="A4" s="29" t="s">
        <v>9</v>
      </c>
      <c r="B4" s="30"/>
      <c r="C4" s="464" t="str">
        <f>Oplysningsside!B5</f>
        <v/>
      </c>
      <c r="D4" s="464"/>
      <c r="E4" s="464"/>
      <c r="F4" s="30"/>
      <c r="G4" s="32" t="s">
        <v>7</v>
      </c>
      <c r="H4" s="30"/>
      <c r="I4" s="473" t="str">
        <f>Oplysningsside!E5</f>
        <v/>
      </c>
      <c r="J4" s="473"/>
      <c r="K4" s="473"/>
      <c r="L4" s="30"/>
      <c r="M4" s="30" t="s">
        <v>11</v>
      </c>
      <c r="N4" s="30"/>
      <c r="O4" s="468" t="str">
        <f>Oplysningsside!G5</f>
        <v/>
      </c>
      <c r="P4" s="468"/>
      <c r="Q4" s="33"/>
    </row>
    <row r="5" spans="1:18" x14ac:dyDescent="0.25">
      <c r="A5" s="8" t="s">
        <v>517</v>
      </c>
      <c r="B5" s="35"/>
      <c r="C5" s="465" t="str">
        <f>Oplysningsside!$B$6</f>
        <v/>
      </c>
      <c r="D5" s="465"/>
      <c r="E5" s="465"/>
      <c r="F5" s="35"/>
      <c r="G5" s="9" t="s">
        <v>423</v>
      </c>
      <c r="H5" s="35"/>
      <c r="I5" s="474" t="str">
        <f>Oplysningsside!E6</f>
        <v/>
      </c>
      <c r="J5" s="474"/>
      <c r="K5" s="474"/>
      <c r="L5" s="35"/>
      <c r="M5" s="35"/>
      <c r="N5" s="35"/>
      <c r="O5" s="465"/>
      <c r="P5" s="465"/>
      <c r="Q5" s="36"/>
    </row>
    <row r="7" spans="1:18" ht="26.25" x14ac:dyDescent="0.4">
      <c r="A7" s="37" t="s">
        <v>203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40" t="s">
        <v>2</v>
      </c>
      <c r="P7" s="38"/>
      <c r="Q7" s="38"/>
    </row>
    <row r="10" spans="1:18" ht="18.75" x14ac:dyDescent="0.3">
      <c r="A10" s="43" t="s">
        <v>364</v>
      </c>
      <c r="B10" s="45"/>
      <c r="C10" s="45"/>
      <c r="D10" s="45"/>
      <c r="E10" s="43"/>
      <c r="F10" s="43" t="s">
        <v>632</v>
      </c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51"/>
    </row>
    <row r="12" spans="1:18" x14ac:dyDescent="0.25">
      <c r="A12" s="46" t="s">
        <v>263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116" t="s">
        <v>90</v>
      </c>
      <c r="M12" s="54"/>
      <c r="N12" s="54"/>
      <c r="O12" s="54"/>
      <c r="P12" s="54"/>
      <c r="Q12" s="54"/>
    </row>
    <row r="13" spans="1:18" x14ac:dyDescent="0.25">
      <c r="A13" s="48" t="s">
        <v>40</v>
      </c>
      <c r="B13" s="49" t="s">
        <v>127</v>
      </c>
      <c r="C13" s="49"/>
      <c r="D13" s="49"/>
      <c r="E13" s="49"/>
      <c r="F13" s="49"/>
      <c r="G13" s="49"/>
      <c r="H13" s="49"/>
      <c r="I13" s="49"/>
      <c r="J13" s="49"/>
      <c r="K13" s="264"/>
      <c r="L13" s="453"/>
      <c r="M13" s="454"/>
      <c r="N13" s="454"/>
      <c r="O13" s="454"/>
      <c r="P13" s="454"/>
      <c r="Q13" s="455"/>
      <c r="R13" s="51"/>
    </row>
    <row r="14" spans="1:18" x14ac:dyDescent="0.25">
      <c r="A14" s="50" t="s">
        <v>646</v>
      </c>
      <c r="B14" s="51" t="s">
        <v>478</v>
      </c>
      <c r="C14" s="51"/>
      <c r="D14" s="51"/>
      <c r="E14" s="51"/>
      <c r="F14" s="51"/>
      <c r="G14" s="51"/>
      <c r="H14" s="51"/>
      <c r="I14" s="51"/>
      <c r="J14" s="51"/>
      <c r="K14" s="82"/>
      <c r="L14" s="441"/>
      <c r="M14" s="442"/>
      <c r="N14" s="442"/>
      <c r="O14" s="442"/>
      <c r="P14" s="442"/>
      <c r="Q14" s="443"/>
      <c r="R14" s="51"/>
    </row>
    <row r="15" spans="1:18" x14ac:dyDescent="0.25">
      <c r="A15" s="50"/>
      <c r="B15" s="51" t="s">
        <v>479</v>
      </c>
      <c r="C15" s="51"/>
      <c r="D15" s="51"/>
      <c r="E15" s="51"/>
      <c r="F15" s="51"/>
      <c r="G15" s="51"/>
      <c r="H15" s="51"/>
      <c r="I15" s="51"/>
      <c r="J15" s="51"/>
      <c r="K15" s="82"/>
      <c r="L15" s="441"/>
      <c r="M15" s="442"/>
      <c r="N15" s="442"/>
      <c r="O15" s="442"/>
      <c r="P15" s="442"/>
      <c r="Q15" s="443"/>
      <c r="R15" s="51"/>
    </row>
    <row r="16" spans="1:18" x14ac:dyDescent="0.25">
      <c r="A16" s="50"/>
      <c r="B16" s="51" t="s">
        <v>480</v>
      </c>
      <c r="C16" s="51"/>
      <c r="D16" s="51"/>
      <c r="E16" s="51"/>
      <c r="F16" s="51"/>
      <c r="G16" s="51"/>
      <c r="H16" s="51"/>
      <c r="I16" s="51"/>
      <c r="J16" s="51"/>
      <c r="K16" s="82"/>
      <c r="L16" s="441"/>
      <c r="M16" s="442"/>
      <c r="N16" s="442"/>
      <c r="O16" s="442"/>
      <c r="P16" s="442"/>
      <c r="Q16" s="443"/>
      <c r="R16" s="51"/>
    </row>
    <row r="17" spans="1:18" x14ac:dyDescent="0.25">
      <c r="A17" s="50"/>
      <c r="B17" s="51" t="s">
        <v>481</v>
      </c>
      <c r="C17" s="51"/>
      <c r="D17" s="51"/>
      <c r="E17" s="51"/>
      <c r="F17" s="51"/>
      <c r="G17" s="51"/>
      <c r="H17" s="51"/>
      <c r="I17" s="51"/>
      <c r="J17" s="51"/>
      <c r="K17" s="82"/>
      <c r="L17" s="441"/>
      <c r="M17" s="442"/>
      <c r="N17" s="442"/>
      <c r="O17" s="442"/>
      <c r="P17" s="442"/>
      <c r="Q17" s="443"/>
      <c r="R17" s="51"/>
    </row>
    <row r="18" spans="1:18" x14ac:dyDescent="0.25">
      <c r="A18" s="50" t="s">
        <v>639</v>
      </c>
      <c r="B18" s="51" t="s">
        <v>780</v>
      </c>
      <c r="C18" s="51"/>
      <c r="D18" s="51"/>
      <c r="E18" s="51"/>
      <c r="F18" s="51"/>
      <c r="G18" s="51"/>
      <c r="H18" s="51"/>
      <c r="I18" s="51"/>
      <c r="J18" s="51"/>
      <c r="K18" s="82"/>
      <c r="L18" s="441"/>
      <c r="M18" s="442"/>
      <c r="N18" s="442"/>
      <c r="O18" s="442"/>
      <c r="P18" s="442"/>
      <c r="Q18" s="443"/>
      <c r="R18" s="51"/>
    </row>
    <row r="19" spans="1:18" x14ac:dyDescent="0.25">
      <c r="A19" s="50"/>
      <c r="B19" s="51" t="s">
        <v>781</v>
      </c>
      <c r="C19" s="51"/>
      <c r="D19" s="51"/>
      <c r="E19" s="51"/>
      <c r="F19" s="51"/>
      <c r="G19" s="51"/>
      <c r="H19" s="51"/>
      <c r="I19" s="51"/>
      <c r="J19" s="51"/>
      <c r="K19" s="82"/>
      <c r="L19" s="441"/>
      <c r="M19" s="442"/>
      <c r="N19" s="442"/>
      <c r="O19" s="442"/>
      <c r="P19" s="442"/>
      <c r="Q19" s="443"/>
      <c r="R19" s="51"/>
    </row>
    <row r="20" spans="1:18" x14ac:dyDescent="0.25">
      <c r="A20" s="50"/>
      <c r="B20" s="51" t="s">
        <v>483</v>
      </c>
      <c r="C20" s="51"/>
      <c r="D20" s="51"/>
      <c r="E20" s="51"/>
      <c r="F20" s="51"/>
      <c r="G20" s="51"/>
      <c r="H20" s="51"/>
      <c r="I20" s="51"/>
      <c r="J20" s="51"/>
      <c r="K20" s="82"/>
      <c r="L20" s="441"/>
      <c r="M20" s="442"/>
      <c r="N20" s="442"/>
      <c r="O20" s="442"/>
      <c r="P20" s="442"/>
      <c r="Q20" s="443"/>
      <c r="R20" s="51"/>
    </row>
    <row r="21" spans="1:18" x14ac:dyDescent="0.25">
      <c r="A21" s="50"/>
      <c r="B21" s="51" t="s">
        <v>482</v>
      </c>
      <c r="C21" s="51"/>
      <c r="D21" s="51"/>
      <c r="E21" s="51"/>
      <c r="F21" s="51"/>
      <c r="G21" s="51"/>
      <c r="H21" s="51"/>
      <c r="I21" s="51"/>
      <c r="J21" s="51"/>
      <c r="K21" s="82"/>
      <c r="L21" s="441"/>
      <c r="M21" s="442"/>
      <c r="N21" s="442"/>
      <c r="O21" s="442"/>
      <c r="P21" s="442"/>
      <c r="Q21" s="443"/>
      <c r="R21" s="51"/>
    </row>
    <row r="22" spans="1:18" x14ac:dyDescent="0.25">
      <c r="A22" s="50"/>
      <c r="B22" s="51" t="s">
        <v>324</v>
      </c>
      <c r="C22" s="51"/>
      <c r="D22" s="51"/>
      <c r="E22" s="51"/>
      <c r="F22" s="51"/>
      <c r="G22" s="51"/>
      <c r="H22" s="51"/>
      <c r="I22" s="51"/>
      <c r="J22" s="51"/>
      <c r="K22" s="82"/>
      <c r="L22" s="441"/>
      <c r="M22" s="442"/>
      <c r="N22" s="442"/>
      <c r="O22" s="442"/>
      <c r="P22" s="442"/>
      <c r="Q22" s="443"/>
      <c r="R22" s="51"/>
    </row>
    <row r="23" spans="1:18" x14ac:dyDescent="0.25">
      <c r="A23" s="50"/>
      <c r="B23" s="23" t="s">
        <v>341</v>
      </c>
      <c r="C23" s="51"/>
      <c r="D23" s="51"/>
      <c r="E23" s="51"/>
      <c r="F23" s="51"/>
      <c r="G23" s="51"/>
      <c r="H23" s="51"/>
      <c r="I23" s="51"/>
      <c r="J23" s="51"/>
      <c r="K23" s="82"/>
      <c r="L23" s="441"/>
      <c r="M23" s="442"/>
      <c r="N23" s="442"/>
      <c r="O23" s="442"/>
      <c r="P23" s="442"/>
      <c r="Q23" s="443"/>
      <c r="R23" s="51"/>
    </row>
    <row r="24" spans="1:18" x14ac:dyDescent="0.25">
      <c r="A24" s="50"/>
      <c r="B24" s="17" t="s">
        <v>484</v>
      </c>
      <c r="C24" s="51"/>
      <c r="D24" s="51"/>
      <c r="E24" s="51"/>
      <c r="F24" s="51"/>
      <c r="G24" s="51"/>
      <c r="H24" s="51"/>
      <c r="I24" s="51"/>
      <c r="J24" s="51"/>
      <c r="K24" s="82"/>
      <c r="L24" s="441"/>
      <c r="M24" s="442"/>
      <c r="N24" s="442"/>
      <c r="O24" s="442"/>
      <c r="P24" s="442"/>
      <c r="Q24" s="443"/>
      <c r="R24" s="51"/>
    </row>
    <row r="25" spans="1:18" x14ac:dyDescent="0.25">
      <c r="A25" s="50"/>
      <c r="B25" s="51" t="s">
        <v>777</v>
      </c>
      <c r="C25" s="51"/>
      <c r="D25" s="51"/>
      <c r="E25" s="51"/>
      <c r="F25" s="51"/>
      <c r="G25" s="51"/>
      <c r="H25" s="51"/>
      <c r="I25" s="51"/>
      <c r="J25" s="51"/>
      <c r="K25" s="82"/>
      <c r="L25" s="441"/>
      <c r="M25" s="442"/>
      <c r="N25" s="442"/>
      <c r="O25" s="442"/>
      <c r="P25" s="442"/>
      <c r="Q25" s="443"/>
      <c r="R25" s="51"/>
    </row>
    <row r="26" spans="1:18" x14ac:dyDescent="0.25">
      <c r="A26" s="50"/>
      <c r="B26" s="51" t="s">
        <v>778</v>
      </c>
      <c r="C26" s="51"/>
      <c r="D26" s="51"/>
      <c r="E26" s="51"/>
      <c r="F26" s="51"/>
      <c r="G26" s="51"/>
      <c r="H26" s="51"/>
      <c r="I26" s="51"/>
      <c r="J26" s="51"/>
      <c r="K26" s="82"/>
      <c r="L26" s="441"/>
      <c r="M26" s="442"/>
      <c r="N26" s="442"/>
      <c r="O26" s="442"/>
      <c r="P26" s="442"/>
      <c r="Q26" s="443"/>
      <c r="R26" s="51"/>
    </row>
    <row r="27" spans="1:18" x14ac:dyDescent="0.25">
      <c r="A27" s="50"/>
      <c r="B27" s="51" t="s">
        <v>779</v>
      </c>
      <c r="C27" s="51"/>
      <c r="D27" s="51"/>
      <c r="E27" s="51"/>
      <c r="F27" s="51"/>
      <c r="G27" s="51"/>
      <c r="H27" s="51"/>
      <c r="I27" s="51"/>
      <c r="J27" s="51"/>
      <c r="K27" s="82"/>
      <c r="L27" s="441"/>
      <c r="M27" s="442"/>
      <c r="N27" s="442"/>
      <c r="O27" s="442"/>
      <c r="P27" s="442"/>
      <c r="Q27" s="443"/>
      <c r="R27" s="51"/>
    </row>
    <row r="28" spans="1:18" x14ac:dyDescent="0.25">
      <c r="A28" s="50"/>
      <c r="B28" s="51" t="s">
        <v>325</v>
      </c>
      <c r="C28" s="51"/>
      <c r="D28" s="51"/>
      <c r="E28" s="51"/>
      <c r="F28" s="51"/>
      <c r="G28" s="51"/>
      <c r="H28" s="51"/>
      <c r="I28" s="51"/>
      <c r="J28" s="51"/>
      <c r="K28" s="82"/>
      <c r="L28" s="441"/>
      <c r="M28" s="442"/>
      <c r="N28" s="442"/>
      <c r="O28" s="442"/>
      <c r="P28" s="442"/>
      <c r="Q28" s="443"/>
      <c r="R28" s="51"/>
    </row>
    <row r="29" spans="1:18" x14ac:dyDescent="0.25">
      <c r="A29" s="50"/>
      <c r="B29" s="51" t="s">
        <v>530</v>
      </c>
      <c r="C29" s="51"/>
      <c r="D29" s="51"/>
      <c r="E29" s="51"/>
      <c r="F29" s="51"/>
      <c r="G29" s="51"/>
      <c r="H29" s="51"/>
      <c r="I29" s="51"/>
      <c r="J29" s="51"/>
      <c r="K29" s="82"/>
      <c r="L29" s="441"/>
      <c r="M29" s="442"/>
      <c r="N29" s="442"/>
      <c r="O29" s="442"/>
      <c r="P29" s="442"/>
      <c r="Q29" s="443"/>
      <c r="R29" s="51"/>
    </row>
    <row r="30" spans="1:18" x14ac:dyDescent="0.25">
      <c r="A30" s="50"/>
      <c r="B30" s="215" t="s">
        <v>531</v>
      </c>
      <c r="C30" s="51"/>
      <c r="D30" s="51"/>
      <c r="E30" s="51"/>
      <c r="F30" s="51"/>
      <c r="G30" s="51"/>
      <c r="H30" s="51"/>
      <c r="I30" s="51"/>
      <c r="J30" s="51"/>
      <c r="K30" s="82"/>
      <c r="L30" s="441"/>
      <c r="M30" s="442"/>
      <c r="N30" s="442"/>
      <c r="O30" s="442"/>
      <c r="P30" s="442"/>
      <c r="Q30" s="443"/>
      <c r="R30" s="51"/>
    </row>
    <row r="31" spans="1:18" x14ac:dyDescent="0.25">
      <c r="A31" s="50"/>
      <c r="B31" s="215" t="s">
        <v>782</v>
      </c>
      <c r="C31" s="51"/>
      <c r="D31" s="51"/>
      <c r="E31" s="51"/>
      <c r="F31" s="51"/>
      <c r="G31" s="51"/>
      <c r="H31" s="51"/>
      <c r="I31" s="51"/>
      <c r="J31" s="51"/>
      <c r="K31" s="82"/>
      <c r="L31" s="441"/>
      <c r="M31" s="442"/>
      <c r="N31" s="442"/>
      <c r="O31" s="442"/>
      <c r="P31" s="442"/>
      <c r="Q31" s="443"/>
      <c r="R31" s="51"/>
    </row>
    <row r="32" spans="1:18" x14ac:dyDescent="0.25">
      <c r="A32" s="50"/>
      <c r="B32" s="215" t="s">
        <v>783</v>
      </c>
      <c r="C32" s="51"/>
      <c r="D32" s="51"/>
      <c r="E32" s="51"/>
      <c r="F32" s="51"/>
      <c r="G32" s="51"/>
      <c r="H32" s="51"/>
      <c r="I32" s="51"/>
      <c r="J32" s="51"/>
      <c r="K32" s="82"/>
      <c r="L32" s="441"/>
      <c r="M32" s="442"/>
      <c r="N32" s="442"/>
      <c r="O32" s="442"/>
      <c r="P32" s="442"/>
      <c r="Q32" s="443"/>
      <c r="R32" s="51"/>
    </row>
    <row r="33" spans="1:18" x14ac:dyDescent="0.25">
      <c r="A33" s="50"/>
      <c r="B33" s="215" t="s">
        <v>784</v>
      </c>
      <c r="C33" s="51"/>
      <c r="D33" s="51"/>
      <c r="E33" s="51"/>
      <c r="F33" s="51"/>
      <c r="G33" s="51"/>
      <c r="H33" s="51"/>
      <c r="I33" s="51"/>
      <c r="J33" s="51"/>
      <c r="K33" s="82"/>
      <c r="L33" s="441"/>
      <c r="M33" s="442"/>
      <c r="N33" s="442"/>
      <c r="O33" s="442"/>
      <c r="P33" s="442"/>
      <c r="Q33" s="443"/>
      <c r="R33" s="51"/>
    </row>
    <row r="34" spans="1:18" x14ac:dyDescent="0.25">
      <c r="A34" s="50"/>
      <c r="B34" s="23" t="s">
        <v>334</v>
      </c>
      <c r="C34" s="51"/>
      <c r="D34" s="51"/>
      <c r="E34" s="51"/>
      <c r="F34" s="51"/>
      <c r="G34" s="51"/>
      <c r="H34" s="51"/>
      <c r="I34" s="51"/>
      <c r="J34" s="51"/>
      <c r="K34" s="82"/>
      <c r="L34" s="441"/>
      <c r="M34" s="442"/>
      <c r="N34" s="442"/>
      <c r="O34" s="442"/>
      <c r="P34" s="442"/>
      <c r="Q34" s="443"/>
      <c r="R34" s="51"/>
    </row>
    <row r="35" spans="1:18" x14ac:dyDescent="0.25">
      <c r="A35" s="50"/>
      <c r="B35" s="51" t="s">
        <v>785</v>
      </c>
      <c r="C35" s="51"/>
      <c r="D35" s="51"/>
      <c r="E35" s="51"/>
      <c r="F35" s="51"/>
      <c r="G35" s="51"/>
      <c r="H35" s="51"/>
      <c r="I35" s="51"/>
      <c r="J35" s="51"/>
      <c r="K35" s="82"/>
      <c r="L35" s="441"/>
      <c r="M35" s="442"/>
      <c r="N35" s="442"/>
      <c r="O35" s="442"/>
      <c r="P35" s="442"/>
      <c r="Q35" s="443"/>
      <c r="R35" s="51"/>
    </row>
    <row r="36" spans="1:18" x14ac:dyDescent="0.25">
      <c r="A36" s="50"/>
      <c r="B36" s="51" t="s">
        <v>326</v>
      </c>
      <c r="C36" s="51"/>
      <c r="D36" s="51"/>
      <c r="E36" s="51"/>
      <c r="F36" s="51"/>
      <c r="G36" s="51"/>
      <c r="H36" s="51"/>
      <c r="I36" s="51"/>
      <c r="J36" s="51"/>
      <c r="K36" s="82"/>
      <c r="L36" s="441"/>
      <c r="M36" s="442"/>
      <c r="N36" s="442"/>
      <c r="O36" s="442"/>
      <c r="P36" s="442"/>
      <c r="Q36" s="443"/>
      <c r="R36" s="51"/>
    </row>
    <row r="37" spans="1:18" x14ac:dyDescent="0.25">
      <c r="A37" s="50"/>
      <c r="B37" s="23" t="s">
        <v>102</v>
      </c>
      <c r="C37" s="51"/>
      <c r="D37" s="51"/>
      <c r="E37" s="51"/>
      <c r="F37" s="51"/>
      <c r="G37" s="51"/>
      <c r="H37" s="51"/>
      <c r="I37" s="51"/>
      <c r="J37" s="51"/>
      <c r="K37" s="82"/>
      <c r="L37" s="441"/>
      <c r="M37" s="442"/>
      <c r="N37" s="442"/>
      <c r="O37" s="442"/>
      <c r="P37" s="442"/>
      <c r="Q37" s="443"/>
      <c r="R37" s="51"/>
    </row>
    <row r="38" spans="1:18" x14ac:dyDescent="0.25">
      <c r="A38" s="50"/>
      <c r="B38" s="51" t="s">
        <v>786</v>
      </c>
      <c r="C38" s="51"/>
      <c r="D38" s="51"/>
      <c r="E38" s="51"/>
      <c r="F38" s="51"/>
      <c r="G38" s="51"/>
      <c r="H38" s="51"/>
      <c r="I38" s="51"/>
      <c r="J38" s="51"/>
      <c r="K38" s="82"/>
      <c r="L38" s="441"/>
      <c r="M38" s="442"/>
      <c r="N38" s="442"/>
      <c r="O38" s="442"/>
      <c r="P38" s="442"/>
      <c r="Q38" s="443"/>
      <c r="R38" s="51"/>
    </row>
    <row r="39" spans="1:18" x14ac:dyDescent="0.25">
      <c r="A39" s="50" t="s">
        <v>41</v>
      </c>
      <c r="B39" s="215" t="s">
        <v>787</v>
      </c>
      <c r="C39" s="51"/>
      <c r="D39" s="51"/>
      <c r="E39" s="51"/>
      <c r="F39" s="51"/>
      <c r="G39" s="51"/>
      <c r="H39" s="51"/>
      <c r="I39" s="51"/>
      <c r="J39" s="51"/>
      <c r="K39" s="82"/>
      <c r="L39" s="441"/>
      <c r="M39" s="442"/>
      <c r="N39" s="442"/>
      <c r="O39" s="442"/>
      <c r="P39" s="442"/>
      <c r="Q39" s="443"/>
      <c r="R39" s="51"/>
    </row>
    <row r="40" spans="1:18" x14ac:dyDescent="0.25">
      <c r="A40" s="50"/>
      <c r="B40" s="215" t="s">
        <v>485</v>
      </c>
      <c r="C40" s="51"/>
      <c r="D40" s="51"/>
      <c r="E40" s="51"/>
      <c r="F40" s="51"/>
      <c r="G40" s="51"/>
      <c r="H40" s="51"/>
      <c r="I40" s="51"/>
      <c r="J40" s="51"/>
      <c r="K40" s="82"/>
      <c r="L40" s="441"/>
      <c r="M40" s="442"/>
      <c r="N40" s="442"/>
      <c r="O40" s="442"/>
      <c r="P40" s="442"/>
      <c r="Q40" s="443"/>
      <c r="R40" s="51"/>
    </row>
    <row r="41" spans="1:18" x14ac:dyDescent="0.25">
      <c r="A41" s="50"/>
      <c r="B41" s="17" t="s">
        <v>788</v>
      </c>
      <c r="C41" s="51"/>
      <c r="D41" s="51"/>
      <c r="E41" s="51"/>
      <c r="F41" s="51"/>
      <c r="G41" s="51"/>
      <c r="H41" s="51"/>
      <c r="I41" s="51"/>
      <c r="J41" s="51"/>
      <c r="K41" s="82"/>
      <c r="L41" s="441"/>
      <c r="M41" s="442"/>
      <c r="N41" s="442"/>
      <c r="O41" s="442"/>
      <c r="P41" s="442"/>
      <c r="Q41" s="443"/>
      <c r="R41" s="51"/>
    </row>
    <row r="42" spans="1:18" x14ac:dyDescent="0.25">
      <c r="A42" s="50"/>
      <c r="B42" s="51" t="s">
        <v>789</v>
      </c>
      <c r="C42" s="51"/>
      <c r="D42" s="51"/>
      <c r="E42" s="51"/>
      <c r="F42" s="51"/>
      <c r="G42" s="51"/>
      <c r="H42" s="51"/>
      <c r="I42" s="51"/>
      <c r="J42" s="51"/>
      <c r="K42" s="82"/>
      <c r="L42" s="441"/>
      <c r="M42" s="442"/>
      <c r="N42" s="442"/>
      <c r="O42" s="442"/>
      <c r="P42" s="442"/>
      <c r="Q42" s="443"/>
      <c r="R42" s="51"/>
    </row>
    <row r="43" spans="1:18" x14ac:dyDescent="0.25">
      <c r="A43" s="50"/>
      <c r="B43" s="51" t="s">
        <v>790</v>
      </c>
      <c r="C43" s="51"/>
      <c r="D43" s="51"/>
      <c r="E43" s="51"/>
      <c r="F43" s="51"/>
      <c r="G43" s="51"/>
      <c r="H43" s="51"/>
      <c r="I43" s="51"/>
      <c r="J43" s="51"/>
      <c r="K43" s="82"/>
      <c r="L43" s="441"/>
      <c r="M43" s="442"/>
      <c r="N43" s="442"/>
      <c r="O43" s="442"/>
      <c r="P43" s="442"/>
      <c r="Q43" s="443"/>
      <c r="R43" s="51"/>
    </row>
    <row r="44" spans="1:18" x14ac:dyDescent="0.25">
      <c r="A44" s="50"/>
      <c r="B44" s="17"/>
      <c r="C44" s="51"/>
      <c r="D44" s="51"/>
      <c r="E44" s="51"/>
      <c r="F44" s="51"/>
      <c r="G44" s="51"/>
      <c r="H44" s="51" t="s">
        <v>619</v>
      </c>
      <c r="I44" s="51"/>
      <c r="J44" s="51"/>
      <c r="K44" s="82"/>
      <c r="L44" s="441"/>
      <c r="M44" s="442"/>
      <c r="N44" s="442"/>
      <c r="O44" s="442"/>
      <c r="P44" s="442"/>
      <c r="Q44" s="443"/>
      <c r="R44" s="51"/>
    </row>
    <row r="45" spans="1:18" x14ac:dyDescent="0.25">
      <c r="A45" s="50" t="s">
        <v>620</v>
      </c>
      <c r="B45" s="17"/>
      <c r="C45" s="51"/>
      <c r="D45" s="51"/>
      <c r="E45" s="51"/>
      <c r="F45" s="51"/>
      <c r="G45" s="51"/>
      <c r="H45" s="51"/>
      <c r="I45" s="51"/>
      <c r="J45" s="51"/>
      <c r="K45" s="82"/>
      <c r="L45" s="441"/>
      <c r="M45" s="442"/>
      <c r="N45" s="442"/>
      <c r="O45" s="442"/>
      <c r="P45" s="442"/>
      <c r="Q45" s="443"/>
      <c r="R45" s="51"/>
    </row>
    <row r="46" spans="1:18" x14ac:dyDescent="0.25">
      <c r="A46" s="50"/>
      <c r="B46" s="17"/>
      <c r="C46" s="51"/>
      <c r="D46" s="51"/>
      <c r="E46" s="51"/>
      <c r="F46" s="51"/>
      <c r="G46" s="51"/>
      <c r="H46" s="51"/>
      <c r="I46" s="51"/>
      <c r="J46" s="51"/>
      <c r="K46" s="82"/>
      <c r="L46" s="441"/>
      <c r="M46" s="442"/>
      <c r="N46" s="442"/>
      <c r="O46" s="442"/>
      <c r="P46" s="442"/>
      <c r="Q46" s="443"/>
      <c r="R46" s="51"/>
    </row>
    <row r="47" spans="1:18" x14ac:dyDescent="0.25">
      <c r="A47" s="50"/>
      <c r="B47" s="17"/>
      <c r="C47" s="51"/>
      <c r="D47" s="51"/>
      <c r="E47" s="51"/>
      <c r="F47" s="51"/>
      <c r="G47" s="51"/>
      <c r="H47" s="51"/>
      <c r="I47" s="51"/>
      <c r="J47" s="51"/>
      <c r="K47" s="82"/>
      <c r="L47" s="441"/>
      <c r="M47" s="442"/>
      <c r="N47" s="442"/>
      <c r="O47" s="442"/>
      <c r="P47" s="442"/>
      <c r="Q47" s="443"/>
      <c r="R47" s="51"/>
    </row>
    <row r="48" spans="1:18" x14ac:dyDescent="0.25">
      <c r="A48" s="50"/>
      <c r="B48" s="17"/>
      <c r="C48" s="51"/>
      <c r="D48" s="51"/>
      <c r="E48" s="51"/>
      <c r="F48" s="51"/>
      <c r="G48" s="51"/>
      <c r="H48" s="51"/>
      <c r="I48" s="51"/>
      <c r="J48" s="51"/>
      <c r="K48" s="82"/>
      <c r="L48" s="441"/>
      <c r="M48" s="442"/>
      <c r="N48" s="442"/>
      <c r="O48" s="442"/>
      <c r="P48" s="442"/>
      <c r="Q48" s="443"/>
      <c r="R48" s="51"/>
    </row>
    <row r="49" spans="1:18" x14ac:dyDescent="0.25">
      <c r="A49" s="50"/>
      <c r="B49" s="17"/>
      <c r="C49" s="51"/>
      <c r="D49" s="51"/>
      <c r="E49" s="51"/>
      <c r="F49" s="51"/>
      <c r="G49" s="51"/>
      <c r="H49" s="51"/>
      <c r="I49" s="51"/>
      <c r="J49" s="51"/>
      <c r="K49" s="82"/>
      <c r="L49" s="441"/>
      <c r="M49" s="442"/>
      <c r="N49" s="442"/>
      <c r="O49" s="442"/>
      <c r="P49" s="442"/>
      <c r="Q49" s="443"/>
      <c r="R49" s="51"/>
    </row>
    <row r="50" spans="1:18" x14ac:dyDescent="0.25">
      <c r="A50" s="50"/>
      <c r="B50" s="17"/>
      <c r="C50" s="51"/>
      <c r="D50" s="51"/>
      <c r="E50" s="51"/>
      <c r="F50" s="51"/>
      <c r="G50" s="51"/>
      <c r="H50" s="51"/>
      <c r="I50" s="51"/>
      <c r="J50" s="51"/>
      <c r="K50" s="82"/>
      <c r="L50" s="441"/>
      <c r="M50" s="442"/>
      <c r="N50" s="442"/>
      <c r="O50" s="442"/>
      <c r="P50" s="442"/>
      <c r="Q50" s="443"/>
      <c r="R50" s="51"/>
    </row>
    <row r="51" spans="1:18" x14ac:dyDescent="0.25">
      <c r="A51" s="50"/>
      <c r="B51" s="17"/>
      <c r="C51" s="51"/>
      <c r="D51" s="51"/>
      <c r="E51" s="51"/>
      <c r="F51" s="51"/>
      <c r="G51" s="51"/>
      <c r="H51" s="51"/>
      <c r="I51" s="51"/>
      <c r="J51" s="51"/>
      <c r="K51" s="82"/>
      <c r="L51" s="441"/>
      <c r="M51" s="442"/>
      <c r="N51" s="442"/>
      <c r="O51" s="442"/>
      <c r="P51" s="442"/>
      <c r="Q51" s="443"/>
      <c r="R51" s="51"/>
    </row>
    <row r="52" spans="1:18" x14ac:dyDescent="0.25">
      <c r="A52" s="50"/>
      <c r="B52" s="17"/>
      <c r="C52" s="51"/>
      <c r="D52" s="51"/>
      <c r="E52" s="51"/>
      <c r="F52" s="51"/>
      <c r="G52" s="51"/>
      <c r="H52" s="51"/>
      <c r="I52" s="51"/>
      <c r="J52" s="51"/>
      <c r="K52" s="82"/>
      <c r="L52" s="441"/>
      <c r="M52" s="442"/>
      <c r="N52" s="442"/>
      <c r="O52" s="442"/>
      <c r="P52" s="442"/>
      <c r="Q52" s="443"/>
      <c r="R52" s="51"/>
    </row>
    <row r="53" spans="1:18" x14ac:dyDescent="0.25">
      <c r="A53" s="50"/>
      <c r="B53" s="17"/>
      <c r="C53" s="51"/>
      <c r="D53" s="51"/>
      <c r="E53" s="51"/>
      <c r="F53" s="51"/>
      <c r="G53" s="51"/>
      <c r="H53" s="51"/>
      <c r="I53" s="51"/>
      <c r="J53" s="51"/>
      <c r="K53" s="82"/>
      <c r="L53" s="441"/>
      <c r="M53" s="442"/>
      <c r="N53" s="442"/>
      <c r="O53" s="442"/>
      <c r="P53" s="442"/>
      <c r="Q53" s="443"/>
      <c r="R53" s="51"/>
    </row>
    <row r="54" spans="1:18" x14ac:dyDescent="0.25">
      <c r="A54" s="50"/>
      <c r="B54" s="17"/>
      <c r="C54" s="51"/>
      <c r="D54" s="51"/>
      <c r="E54" s="51"/>
      <c r="F54" s="51"/>
      <c r="G54" s="51"/>
      <c r="H54" s="51"/>
      <c r="I54" s="51"/>
      <c r="J54" s="51"/>
      <c r="K54" s="82"/>
      <c r="L54" s="441"/>
      <c r="M54" s="442"/>
      <c r="N54" s="442"/>
      <c r="O54" s="442"/>
      <c r="P54" s="442"/>
      <c r="Q54" s="443"/>
      <c r="R54" s="51"/>
    </row>
    <row r="55" spans="1:18" x14ac:dyDescent="0.25">
      <c r="A55" s="50"/>
      <c r="B55" s="17"/>
      <c r="C55" s="51"/>
      <c r="D55" s="51"/>
      <c r="E55" s="51"/>
      <c r="F55" s="51"/>
      <c r="G55" s="51"/>
      <c r="H55" s="51"/>
      <c r="I55" s="51"/>
      <c r="J55" s="51"/>
      <c r="K55" s="82"/>
      <c r="L55" s="441"/>
      <c r="M55" s="442"/>
      <c r="N55" s="442"/>
      <c r="O55" s="442"/>
      <c r="P55" s="442"/>
      <c r="Q55" s="443"/>
      <c r="R55" s="51"/>
    </row>
    <row r="56" spans="1:18" x14ac:dyDescent="0.25">
      <c r="A56" s="73"/>
      <c r="B56" s="72"/>
      <c r="C56" s="72"/>
      <c r="D56" s="72"/>
      <c r="E56" s="72"/>
      <c r="F56" s="72"/>
      <c r="G56" s="72"/>
      <c r="H56" s="72"/>
      <c r="I56" s="72"/>
      <c r="J56" s="72"/>
      <c r="K56" s="83"/>
      <c r="L56" s="444"/>
      <c r="M56" s="445"/>
      <c r="N56" s="445"/>
      <c r="O56" s="445"/>
      <c r="P56" s="445"/>
      <c r="Q56" s="446"/>
    </row>
    <row r="57" spans="1:18" x14ac:dyDescent="0.25">
      <c r="A57" s="240" t="s">
        <v>659</v>
      </c>
      <c r="B57" s="216" t="s">
        <v>660</v>
      </c>
      <c r="C57" s="49"/>
      <c r="D57" s="49"/>
      <c r="E57" s="49"/>
      <c r="F57" s="49"/>
      <c r="G57" s="49"/>
      <c r="H57" s="49"/>
      <c r="I57" s="49"/>
      <c r="J57" s="49"/>
      <c r="K57" s="373" t="s">
        <v>684</v>
      </c>
      <c r="L57" s="200"/>
      <c r="M57" s="382"/>
      <c r="N57" s="382"/>
      <c r="O57" s="382"/>
      <c r="P57" s="382"/>
      <c r="Q57" s="383"/>
    </row>
    <row r="58" spans="1:18" x14ac:dyDescent="0.25">
      <c r="A58" s="242"/>
      <c r="B58" s="168" t="s">
        <v>661</v>
      </c>
      <c r="C58" s="72"/>
      <c r="D58" s="72"/>
      <c r="E58" s="72"/>
      <c r="F58" s="72"/>
      <c r="G58" s="72"/>
      <c r="H58" s="72"/>
      <c r="I58" s="72"/>
      <c r="J58" s="72"/>
      <c r="K58" s="374" t="s">
        <v>662</v>
      </c>
      <c r="L58" s="444"/>
      <c r="M58" s="445"/>
      <c r="N58" s="445"/>
      <c r="O58" s="445"/>
      <c r="P58" s="445"/>
      <c r="Q58" s="446"/>
    </row>
    <row r="60" spans="1:18" x14ac:dyDescent="0.25">
      <c r="A60" s="53" t="s">
        <v>264</v>
      </c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</row>
    <row r="62" spans="1:18" x14ac:dyDescent="0.25">
      <c r="A62" s="105"/>
      <c r="B62" s="240" t="s">
        <v>335</v>
      </c>
      <c r="C62" s="216"/>
      <c r="D62" s="217"/>
      <c r="E62" s="201"/>
      <c r="F62" s="49" t="s">
        <v>406</v>
      </c>
      <c r="G62" s="276"/>
      <c r="H62" s="216"/>
      <c r="I62" s="217"/>
      <c r="J62" s="200"/>
      <c r="K62" s="49" t="s">
        <v>408</v>
      </c>
      <c r="L62" s="49"/>
      <c r="M62" s="49"/>
      <c r="N62" s="49"/>
      <c r="O62" s="49"/>
      <c r="P62" s="397" t="s">
        <v>618</v>
      </c>
      <c r="Q62" s="399"/>
    </row>
    <row r="63" spans="1:18" x14ac:dyDescent="0.25">
      <c r="A63" s="106"/>
      <c r="B63" s="238" t="s">
        <v>342</v>
      </c>
      <c r="C63" s="215"/>
      <c r="D63" s="226"/>
      <c r="E63" s="199"/>
      <c r="F63" s="51" t="s">
        <v>407</v>
      </c>
      <c r="G63" s="256"/>
      <c r="H63" s="215"/>
      <c r="I63" s="226"/>
      <c r="J63" s="198"/>
      <c r="K63" s="51"/>
      <c r="L63" s="135"/>
      <c r="M63" s="51"/>
      <c r="N63" s="51"/>
      <c r="O63" s="51"/>
      <c r="P63" s="398" t="s">
        <v>617</v>
      </c>
      <c r="Q63" s="288"/>
    </row>
    <row r="64" spans="1:18" x14ac:dyDescent="0.25">
      <c r="A64" s="197"/>
      <c r="B64" s="242"/>
      <c r="C64" s="168"/>
      <c r="D64" s="232"/>
      <c r="G64" s="219"/>
      <c r="H64" s="215"/>
      <c r="I64" s="226"/>
      <c r="J64" s="81"/>
      <c r="K64" s="72"/>
      <c r="L64" s="72"/>
      <c r="M64" s="72"/>
      <c r="N64" s="72"/>
      <c r="O64" s="72"/>
      <c r="P64" s="232"/>
      <c r="Q64" s="197"/>
    </row>
    <row r="65" spans="1:18" x14ac:dyDescent="0.25">
      <c r="A65" s="277"/>
      <c r="B65" s="278"/>
      <c r="C65" s="279"/>
      <c r="D65" s="279"/>
      <c r="E65" s="509" t="s">
        <v>341</v>
      </c>
      <c r="F65" s="510"/>
      <c r="G65" s="510"/>
      <c r="H65" s="510"/>
      <c r="I65" s="511"/>
      <c r="J65" s="509" t="s">
        <v>334</v>
      </c>
      <c r="K65" s="510"/>
      <c r="L65" s="510"/>
      <c r="M65" s="510"/>
      <c r="N65" s="510"/>
      <c r="O65" s="510"/>
      <c r="P65" s="511"/>
      <c r="Q65" s="277" t="s">
        <v>102</v>
      </c>
    </row>
    <row r="66" spans="1:18" x14ac:dyDescent="0.25">
      <c r="A66" s="55" t="s">
        <v>42</v>
      </c>
      <c r="B66" s="55" t="s">
        <v>105</v>
      </c>
      <c r="C66" s="55" t="s">
        <v>666</v>
      </c>
      <c r="D66" s="250" t="s">
        <v>328</v>
      </c>
      <c r="E66" s="55" t="s">
        <v>330</v>
      </c>
      <c r="F66" s="55" t="s">
        <v>329</v>
      </c>
      <c r="G66" s="55" t="s">
        <v>280</v>
      </c>
      <c r="H66" s="55" t="s">
        <v>136</v>
      </c>
      <c r="I66" s="55" t="s">
        <v>136</v>
      </c>
      <c r="J66" s="55" t="s">
        <v>332</v>
      </c>
      <c r="K66" s="55" t="s">
        <v>332</v>
      </c>
      <c r="L66" s="55" t="s">
        <v>332</v>
      </c>
      <c r="M66" s="55" t="s">
        <v>332</v>
      </c>
      <c r="N66" s="55" t="s">
        <v>332</v>
      </c>
      <c r="O66" s="55" t="s">
        <v>334</v>
      </c>
      <c r="P66" s="55" t="s">
        <v>334</v>
      </c>
      <c r="Q66" s="55" t="s">
        <v>102</v>
      </c>
    </row>
    <row r="67" spans="1:18" x14ac:dyDescent="0.25">
      <c r="A67" s="56"/>
      <c r="B67" s="56"/>
      <c r="C67" s="56" t="s">
        <v>667</v>
      </c>
      <c r="D67" s="253"/>
      <c r="E67" s="56" t="s">
        <v>339</v>
      </c>
      <c r="F67" s="56" t="s">
        <v>340</v>
      </c>
      <c r="G67" s="56" t="s">
        <v>331</v>
      </c>
      <c r="H67" s="56" t="s">
        <v>405</v>
      </c>
      <c r="I67" s="164" t="s">
        <v>606</v>
      </c>
      <c r="J67" s="164" t="s">
        <v>333</v>
      </c>
      <c r="K67" s="164" t="s">
        <v>607</v>
      </c>
      <c r="L67" s="164" t="s">
        <v>608</v>
      </c>
      <c r="M67" s="164" t="s">
        <v>609</v>
      </c>
      <c r="N67" s="164" t="s">
        <v>610</v>
      </c>
      <c r="O67" s="56"/>
      <c r="P67" s="56" t="s">
        <v>293</v>
      </c>
      <c r="Q67" s="56" t="s">
        <v>293</v>
      </c>
    </row>
    <row r="68" spans="1:18" x14ac:dyDescent="0.25">
      <c r="A68" s="57"/>
      <c r="B68" s="57"/>
      <c r="C68" s="57" t="s">
        <v>327</v>
      </c>
      <c r="D68" s="274" t="s">
        <v>338</v>
      </c>
      <c r="E68" s="274" t="s">
        <v>338</v>
      </c>
      <c r="F68" s="274" t="s">
        <v>338</v>
      </c>
      <c r="G68" s="57"/>
      <c r="H68" s="57"/>
      <c r="I68" s="274" t="s">
        <v>338</v>
      </c>
      <c r="J68" s="274" t="s">
        <v>338</v>
      </c>
      <c r="K68" s="274" t="s">
        <v>338</v>
      </c>
      <c r="L68" s="274" t="s">
        <v>338</v>
      </c>
      <c r="M68" s="274" t="s">
        <v>338</v>
      </c>
      <c r="N68" s="274" t="s">
        <v>338</v>
      </c>
      <c r="O68" s="57" t="s">
        <v>410</v>
      </c>
      <c r="P68" s="57" t="s">
        <v>123</v>
      </c>
      <c r="Q68" s="57" t="s">
        <v>103</v>
      </c>
    </row>
    <row r="69" spans="1:18" x14ac:dyDescent="0.25">
      <c r="A69" s="58">
        <v>1</v>
      </c>
      <c r="B69" s="84"/>
      <c r="C69" s="84"/>
      <c r="D69" s="280" t="str">
        <f>IF(OR($A$63="",C69=""),"",$A$63*C69)</f>
        <v/>
      </c>
      <c r="E69" s="84"/>
      <c r="F69" s="84"/>
      <c r="G69" s="281" t="str">
        <f>IF(OR(D69="",E69="",F69=""),"",(E69+D69)/(F69+D69))</f>
        <v/>
      </c>
      <c r="H69" s="97" t="str">
        <f t="shared" ref="H69:H74" si="0">IF(OR($A$63="",E69="",F69=""),"",IF(G69&lt;250,"IKKE OK","OK"))</f>
        <v/>
      </c>
      <c r="I69" s="97" t="str">
        <f>IF(OR($A$63="",F69="",E69=""),"",IF(E69&lt;300,"IKKE OK","OK"))</f>
        <v/>
      </c>
      <c r="J69" s="84"/>
      <c r="K69" s="84"/>
      <c r="L69" s="84"/>
      <c r="M69" s="84"/>
      <c r="N69" s="84"/>
      <c r="O69" s="167" t="str">
        <f>IF(OR(J69="",K69="",L69="",M69="",N69=""),"",(MAX(J69:N69)-MIN(J69:N69))/MIN(J69:N69)*100)</f>
        <v/>
      </c>
      <c r="P69" s="84"/>
      <c r="Q69" s="84"/>
    </row>
    <row r="70" spans="1:18" x14ac:dyDescent="0.25">
      <c r="A70" s="58">
        <v>2</v>
      </c>
      <c r="B70" s="84"/>
      <c r="C70" s="84"/>
      <c r="D70" s="280" t="str">
        <f t="shared" ref="D70:D74" si="1">IF(OR($A$63="",C70=""),"",$A$63*C70)</f>
        <v/>
      </c>
      <c r="E70" s="84"/>
      <c r="F70" s="84"/>
      <c r="G70" s="281" t="str">
        <f t="shared" ref="G70:G74" si="2">IF(OR(D70="",E70="",F70=""),"",(E70+D70)/(F70+D70))</f>
        <v/>
      </c>
      <c r="H70" s="97" t="str">
        <f t="shared" si="0"/>
        <v/>
      </c>
      <c r="I70" s="97" t="str">
        <f t="shared" ref="I70:I74" si="3">IF(OR($A$63="",F70="",E70=""),"",IF(E70&lt;300,"IKKE OK","OK"))</f>
        <v/>
      </c>
      <c r="J70" s="84"/>
      <c r="K70" s="84"/>
      <c r="L70" s="84"/>
      <c r="M70" s="84"/>
      <c r="N70" s="84"/>
      <c r="O70" s="167" t="str">
        <f>IF(OR(J70="",K70="",L70="",M70="",N70=""),"",(MAX(J70:N70)-MIN(J70:N70))/MIN(J70:N70)*100)</f>
        <v/>
      </c>
      <c r="P70" s="84"/>
      <c r="Q70" s="84"/>
    </row>
    <row r="71" spans="1:18" x14ac:dyDescent="0.25">
      <c r="A71" s="58">
        <v>3</v>
      </c>
      <c r="B71" s="84"/>
      <c r="C71" s="84"/>
      <c r="D71" s="280" t="str">
        <f t="shared" si="1"/>
        <v/>
      </c>
      <c r="E71" s="84"/>
      <c r="F71" s="84"/>
      <c r="G71" s="281" t="str">
        <f t="shared" si="2"/>
        <v/>
      </c>
      <c r="H71" s="97" t="str">
        <f t="shared" si="0"/>
        <v/>
      </c>
      <c r="I71" s="97" t="str">
        <f t="shared" si="3"/>
        <v/>
      </c>
      <c r="J71" s="84"/>
      <c r="K71" s="84"/>
      <c r="L71" s="84"/>
      <c r="M71" s="84"/>
      <c r="N71" s="84"/>
      <c r="O71" s="167" t="str">
        <f t="shared" ref="O71:O74" si="4">IF(OR(J71="",K71="",L71="",M71="",N71=""),"",(MAX(J71:N71)-MIN(J71:N71))/MIN(J71:N71)*100)</f>
        <v/>
      </c>
      <c r="P71" s="84"/>
      <c r="Q71" s="84"/>
    </row>
    <row r="72" spans="1:18" x14ac:dyDescent="0.25">
      <c r="A72" s="58">
        <v>4</v>
      </c>
      <c r="B72" s="84"/>
      <c r="C72" s="84"/>
      <c r="D72" s="280" t="str">
        <f t="shared" si="1"/>
        <v/>
      </c>
      <c r="E72" s="84"/>
      <c r="F72" s="84"/>
      <c r="G72" s="281" t="str">
        <f t="shared" si="2"/>
        <v/>
      </c>
      <c r="H72" s="97" t="str">
        <f t="shared" si="0"/>
        <v/>
      </c>
      <c r="I72" s="97" t="str">
        <f t="shared" si="3"/>
        <v/>
      </c>
      <c r="J72" s="84"/>
      <c r="K72" s="84"/>
      <c r="L72" s="84"/>
      <c r="M72" s="84"/>
      <c r="N72" s="84"/>
      <c r="O72" s="167" t="str">
        <f t="shared" si="4"/>
        <v/>
      </c>
      <c r="P72" s="84"/>
      <c r="Q72" s="84"/>
    </row>
    <row r="73" spans="1:18" x14ac:dyDescent="0.25">
      <c r="A73" s="58">
        <v>5</v>
      </c>
      <c r="B73" s="84"/>
      <c r="C73" s="84"/>
      <c r="D73" s="280" t="str">
        <f t="shared" si="1"/>
        <v/>
      </c>
      <c r="E73" s="84"/>
      <c r="F73" s="84"/>
      <c r="G73" s="281" t="str">
        <f t="shared" si="2"/>
        <v/>
      </c>
      <c r="H73" s="97" t="str">
        <f t="shared" si="0"/>
        <v/>
      </c>
      <c r="I73" s="97" t="str">
        <f t="shared" si="3"/>
        <v/>
      </c>
      <c r="J73" s="84"/>
      <c r="K73" s="84"/>
      <c r="L73" s="84"/>
      <c r="M73" s="84"/>
      <c r="N73" s="84"/>
      <c r="O73" s="167" t="str">
        <f t="shared" si="4"/>
        <v/>
      </c>
      <c r="P73" s="84"/>
      <c r="Q73" s="84"/>
    </row>
    <row r="74" spans="1:18" x14ac:dyDescent="0.25">
      <c r="A74" s="58">
        <v>6</v>
      </c>
      <c r="B74" s="84"/>
      <c r="C74" s="84"/>
      <c r="D74" s="280" t="str">
        <f t="shared" si="1"/>
        <v/>
      </c>
      <c r="E74" s="84"/>
      <c r="F74" s="84"/>
      <c r="G74" s="281" t="str">
        <f t="shared" si="2"/>
        <v/>
      </c>
      <c r="H74" s="97" t="str">
        <f t="shared" si="0"/>
        <v/>
      </c>
      <c r="I74" s="97" t="str">
        <f t="shared" si="3"/>
        <v/>
      </c>
      <c r="J74" s="84"/>
      <c r="K74" s="84"/>
      <c r="L74" s="84"/>
      <c r="M74" s="84"/>
      <c r="N74" s="84"/>
      <c r="O74" s="167" t="str">
        <f t="shared" si="4"/>
        <v/>
      </c>
      <c r="P74" s="84"/>
      <c r="Q74" s="84"/>
    </row>
    <row r="75" spans="1:18" x14ac:dyDescent="0.25">
      <c r="H75" s="213"/>
      <c r="Q75" s="289" t="s">
        <v>409</v>
      </c>
    </row>
    <row r="77" spans="1:18" ht="18.75" x14ac:dyDescent="0.3">
      <c r="A77" s="43" t="s">
        <v>204</v>
      </c>
      <c r="B77" s="45"/>
      <c r="C77" s="45"/>
      <c r="D77" s="45"/>
      <c r="E77" s="43"/>
      <c r="F77" s="43" t="s">
        <v>632</v>
      </c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51"/>
    </row>
    <row r="79" spans="1:18" x14ac:dyDescent="0.25">
      <c r="A79" s="46" t="s">
        <v>265</v>
      </c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68" t="s">
        <v>90</v>
      </c>
      <c r="M79" s="47"/>
      <c r="N79" s="47"/>
      <c r="O79" s="47"/>
      <c r="P79" s="47"/>
      <c r="Q79" s="47"/>
    </row>
    <row r="80" spans="1:18" x14ac:dyDescent="0.25">
      <c r="A80" s="48" t="s">
        <v>40</v>
      </c>
      <c r="B80" s="49" t="s">
        <v>66</v>
      </c>
      <c r="C80" s="49"/>
      <c r="D80" s="49"/>
      <c r="E80" s="49"/>
      <c r="F80" s="49"/>
      <c r="G80" s="49"/>
      <c r="H80" s="49"/>
      <c r="I80" s="49"/>
      <c r="J80" s="49"/>
      <c r="K80" s="264"/>
      <c r="L80" s="453"/>
      <c r="M80" s="454"/>
      <c r="N80" s="454"/>
      <c r="O80" s="454"/>
      <c r="P80" s="454"/>
      <c r="Q80" s="455"/>
    </row>
    <row r="81" spans="1:17" x14ac:dyDescent="0.25">
      <c r="A81" s="50" t="s">
        <v>646</v>
      </c>
      <c r="B81" s="51" t="s">
        <v>104</v>
      </c>
      <c r="C81" s="51"/>
      <c r="D81" s="51"/>
      <c r="E81" s="51"/>
      <c r="F81" s="51"/>
      <c r="G81" s="51"/>
      <c r="H81" s="51"/>
      <c r="I81" s="51"/>
      <c r="J81" s="51"/>
      <c r="K81" s="82"/>
      <c r="L81" s="441"/>
      <c r="M81" s="442"/>
      <c r="N81" s="442"/>
      <c r="O81" s="442"/>
      <c r="P81" s="442"/>
      <c r="Q81" s="443"/>
    </row>
    <row r="82" spans="1:17" x14ac:dyDescent="0.25">
      <c r="A82" s="50" t="s">
        <v>639</v>
      </c>
      <c r="B82" s="51" t="s">
        <v>343</v>
      </c>
      <c r="C82" s="51"/>
      <c r="D82" s="51"/>
      <c r="E82" s="51"/>
      <c r="F82" s="51"/>
      <c r="G82" s="51"/>
      <c r="H82" s="51"/>
      <c r="I82" s="51"/>
      <c r="J82" s="51"/>
      <c r="K82" s="82"/>
      <c r="L82" s="441"/>
      <c r="M82" s="442"/>
      <c r="N82" s="442"/>
      <c r="O82" s="442"/>
      <c r="P82" s="442"/>
      <c r="Q82" s="443"/>
    </row>
    <row r="83" spans="1:17" x14ac:dyDescent="0.25">
      <c r="A83" s="50"/>
      <c r="B83" s="51" t="s">
        <v>273</v>
      </c>
      <c r="C83" s="51"/>
      <c r="D83" s="51"/>
      <c r="E83" s="51"/>
      <c r="F83" s="51"/>
      <c r="G83" s="51"/>
      <c r="H83" s="51"/>
      <c r="I83" s="51"/>
      <c r="J83" s="51"/>
      <c r="K83" s="82"/>
      <c r="L83" s="441"/>
      <c r="M83" s="442"/>
      <c r="N83" s="442"/>
      <c r="O83" s="442"/>
      <c r="P83" s="442"/>
      <c r="Q83" s="443"/>
    </row>
    <row r="84" spans="1:17" x14ac:dyDescent="0.25">
      <c r="A84" s="50"/>
      <c r="B84" s="51" t="s">
        <v>791</v>
      </c>
      <c r="C84" s="51"/>
      <c r="D84" s="51"/>
      <c r="E84" s="51"/>
      <c r="F84" s="51"/>
      <c r="G84" s="51"/>
      <c r="H84" s="51"/>
      <c r="I84" s="51"/>
      <c r="J84" s="51"/>
      <c r="K84" s="82"/>
      <c r="L84" s="441"/>
      <c r="M84" s="442"/>
      <c r="N84" s="442"/>
      <c r="O84" s="442"/>
      <c r="P84" s="442"/>
      <c r="Q84" s="443"/>
    </row>
    <row r="85" spans="1:17" x14ac:dyDescent="0.25">
      <c r="A85" s="50"/>
      <c r="B85" s="51" t="s">
        <v>532</v>
      </c>
      <c r="C85" s="51"/>
      <c r="D85" s="51"/>
      <c r="E85" s="51"/>
      <c r="F85" s="51"/>
      <c r="G85" s="51"/>
      <c r="H85" s="51"/>
      <c r="I85" s="51"/>
      <c r="J85" s="51"/>
      <c r="K85" s="82"/>
      <c r="L85" s="441"/>
      <c r="M85" s="442"/>
      <c r="N85" s="442"/>
      <c r="O85" s="442"/>
      <c r="P85" s="442"/>
      <c r="Q85" s="443"/>
    </row>
    <row r="86" spans="1:17" x14ac:dyDescent="0.25">
      <c r="A86" s="50"/>
      <c r="B86" s="51" t="s">
        <v>792</v>
      </c>
      <c r="C86" s="51"/>
      <c r="D86" s="51"/>
      <c r="E86" s="51"/>
      <c r="F86" s="51"/>
      <c r="G86" s="51"/>
      <c r="H86" s="51"/>
      <c r="I86" s="51"/>
      <c r="J86" s="51"/>
      <c r="K86" s="82"/>
      <c r="L86" s="441"/>
      <c r="M86" s="442"/>
      <c r="N86" s="442"/>
      <c r="O86" s="442"/>
      <c r="P86" s="442"/>
      <c r="Q86" s="443"/>
    </row>
    <row r="87" spans="1:17" x14ac:dyDescent="0.25">
      <c r="A87" s="50"/>
      <c r="B87" s="51" t="s">
        <v>793</v>
      </c>
      <c r="C87" s="51"/>
      <c r="D87" s="51"/>
      <c r="E87" s="51"/>
      <c r="F87" s="51"/>
      <c r="G87" s="51"/>
      <c r="H87" s="51"/>
      <c r="I87" s="51"/>
      <c r="J87" s="51"/>
      <c r="K87" s="82"/>
      <c r="L87" s="441"/>
      <c r="M87" s="442"/>
      <c r="N87" s="442"/>
      <c r="O87" s="442"/>
      <c r="P87" s="442"/>
      <c r="Q87" s="443"/>
    </row>
    <row r="88" spans="1:17" x14ac:dyDescent="0.25">
      <c r="A88" s="238"/>
      <c r="B88" s="51" t="s">
        <v>486</v>
      </c>
      <c r="C88" s="51"/>
      <c r="D88" s="51"/>
      <c r="E88" s="51"/>
      <c r="F88" s="51"/>
      <c r="G88" s="51"/>
      <c r="H88" s="51"/>
      <c r="I88" s="51"/>
      <c r="J88" s="51"/>
      <c r="K88" s="82"/>
      <c r="L88" s="441"/>
      <c r="M88" s="442"/>
      <c r="N88" s="442"/>
      <c r="O88" s="442"/>
      <c r="P88" s="442"/>
      <c r="Q88" s="443"/>
    </row>
    <row r="89" spans="1:17" x14ac:dyDescent="0.25">
      <c r="A89" s="50" t="s">
        <v>41</v>
      </c>
      <c r="B89" s="51" t="s">
        <v>533</v>
      </c>
      <c r="C89" s="51"/>
      <c r="D89" s="51"/>
      <c r="E89" s="51"/>
      <c r="F89" s="51"/>
      <c r="G89" s="51"/>
      <c r="H89" s="51"/>
      <c r="I89" s="51"/>
      <c r="J89" s="51"/>
      <c r="K89" s="82"/>
      <c r="L89" s="441"/>
      <c r="M89" s="442"/>
      <c r="N89" s="442"/>
      <c r="O89" s="442"/>
      <c r="P89" s="442"/>
      <c r="Q89" s="443"/>
    </row>
    <row r="90" spans="1:17" x14ac:dyDescent="0.25">
      <c r="A90" s="50"/>
      <c r="B90" s="51" t="s">
        <v>534</v>
      </c>
      <c r="C90" s="51"/>
      <c r="D90" s="51"/>
      <c r="E90" s="51"/>
      <c r="F90" s="51"/>
      <c r="G90" s="51"/>
      <c r="H90" s="51"/>
      <c r="I90" s="51"/>
      <c r="J90" s="51"/>
      <c r="K90" s="82"/>
      <c r="L90" s="441"/>
      <c r="M90" s="442"/>
      <c r="N90" s="442"/>
      <c r="O90" s="442"/>
      <c r="P90" s="442"/>
      <c r="Q90" s="443"/>
    </row>
    <row r="91" spans="1:17" x14ac:dyDescent="0.25">
      <c r="A91" s="50"/>
      <c r="B91" s="51" t="s">
        <v>794</v>
      </c>
      <c r="C91" s="51"/>
      <c r="D91" s="51"/>
      <c r="E91" s="51"/>
      <c r="F91" s="51"/>
      <c r="G91" s="51"/>
      <c r="H91" s="51"/>
      <c r="I91" s="51"/>
      <c r="J91" s="51"/>
      <c r="K91" s="82"/>
      <c r="L91" s="441"/>
      <c r="M91" s="442"/>
      <c r="N91" s="442"/>
      <c r="O91" s="442"/>
      <c r="P91" s="442"/>
      <c r="Q91" s="443"/>
    </row>
    <row r="92" spans="1:17" x14ac:dyDescent="0.25">
      <c r="A92" s="50"/>
      <c r="B92" s="51"/>
      <c r="C92" s="51"/>
      <c r="D92" s="51"/>
      <c r="E92" s="51"/>
      <c r="F92" s="51"/>
      <c r="G92" s="51"/>
      <c r="H92" s="51"/>
      <c r="I92" s="51"/>
      <c r="J92" s="51"/>
      <c r="K92" s="82"/>
      <c r="L92" s="441"/>
      <c r="M92" s="442"/>
      <c r="N92" s="442"/>
      <c r="O92" s="442"/>
      <c r="P92" s="442"/>
      <c r="Q92" s="443"/>
    </row>
    <row r="93" spans="1:17" x14ac:dyDescent="0.25">
      <c r="A93" s="50"/>
      <c r="B93" s="61"/>
      <c r="C93" s="51"/>
      <c r="D93" s="51"/>
      <c r="E93" s="51"/>
      <c r="F93" s="51"/>
      <c r="G93" s="51"/>
      <c r="H93" s="51"/>
      <c r="I93" s="51"/>
      <c r="J93" s="51"/>
      <c r="K93" s="82"/>
      <c r="L93" s="441"/>
      <c r="M93" s="442"/>
      <c r="N93" s="442"/>
      <c r="O93" s="442"/>
      <c r="P93" s="442"/>
      <c r="Q93" s="443"/>
    </row>
    <row r="94" spans="1:17" x14ac:dyDescent="0.25">
      <c r="A94" s="50"/>
      <c r="B94" s="51"/>
      <c r="C94" s="51"/>
      <c r="D94" s="51"/>
      <c r="E94" s="51"/>
      <c r="F94" s="51"/>
      <c r="G94" s="51"/>
      <c r="H94" s="51"/>
      <c r="I94" s="51"/>
      <c r="J94" s="51"/>
      <c r="K94" s="82"/>
      <c r="L94" s="441"/>
      <c r="M94" s="442"/>
      <c r="N94" s="442"/>
      <c r="O94" s="442"/>
      <c r="P94" s="442"/>
      <c r="Q94" s="443"/>
    </row>
    <row r="95" spans="1:17" x14ac:dyDescent="0.25">
      <c r="A95" s="50"/>
      <c r="B95" s="51"/>
      <c r="C95" s="51"/>
      <c r="D95" s="51"/>
      <c r="E95" s="51"/>
      <c r="F95" s="51"/>
      <c r="G95" s="51"/>
      <c r="H95" s="51"/>
      <c r="I95" s="51"/>
      <c r="J95" s="51"/>
      <c r="K95" s="82"/>
      <c r="L95" s="441"/>
      <c r="M95" s="442"/>
      <c r="N95" s="442"/>
      <c r="O95" s="442"/>
      <c r="P95" s="442"/>
      <c r="Q95" s="443"/>
    </row>
    <row r="96" spans="1:17" x14ac:dyDescent="0.25">
      <c r="A96" s="50"/>
      <c r="B96" s="51"/>
      <c r="C96" s="51"/>
      <c r="D96" s="51"/>
      <c r="E96" s="51"/>
      <c r="F96" s="51"/>
      <c r="G96" s="51"/>
      <c r="H96" s="51"/>
      <c r="I96" s="51"/>
      <c r="J96" s="51"/>
      <c r="K96" s="82"/>
      <c r="L96" s="441"/>
      <c r="M96" s="442"/>
      <c r="N96" s="442"/>
      <c r="O96" s="442"/>
      <c r="P96" s="442"/>
      <c r="Q96" s="443"/>
    </row>
    <row r="97" spans="1:17" x14ac:dyDescent="0.25">
      <c r="A97" s="50"/>
      <c r="B97" s="51"/>
      <c r="C97" s="51"/>
      <c r="D97" s="51"/>
      <c r="E97" s="51"/>
      <c r="F97" s="51"/>
      <c r="G97" s="51"/>
      <c r="H97" s="51"/>
      <c r="I97" s="51"/>
      <c r="J97" s="51"/>
      <c r="K97" s="82"/>
      <c r="L97" s="441"/>
      <c r="M97" s="442"/>
      <c r="N97" s="442"/>
      <c r="O97" s="442"/>
      <c r="P97" s="442"/>
      <c r="Q97" s="443"/>
    </row>
    <row r="98" spans="1:17" x14ac:dyDescent="0.25">
      <c r="A98" s="50"/>
      <c r="B98" s="51"/>
      <c r="C98" s="51"/>
      <c r="D98" s="51"/>
      <c r="E98" s="51"/>
      <c r="F98" s="51"/>
      <c r="G98" s="51"/>
      <c r="H98" s="51"/>
      <c r="I98" s="51"/>
      <c r="J98" s="51"/>
      <c r="K98" s="82"/>
      <c r="L98" s="441"/>
      <c r="M98" s="442"/>
      <c r="N98" s="442"/>
      <c r="O98" s="442"/>
      <c r="P98" s="442"/>
      <c r="Q98" s="443"/>
    </row>
    <row r="99" spans="1:17" x14ac:dyDescent="0.25">
      <c r="A99" s="50"/>
      <c r="B99" s="51"/>
      <c r="C99" s="51"/>
      <c r="D99" s="51"/>
      <c r="E99" s="51"/>
      <c r="F99" s="51"/>
      <c r="G99" s="51"/>
      <c r="H99" s="51"/>
      <c r="I99" s="51"/>
      <c r="J99" s="51"/>
      <c r="K99" s="82"/>
      <c r="L99" s="441"/>
      <c r="M99" s="442"/>
      <c r="N99" s="442"/>
      <c r="O99" s="442"/>
      <c r="P99" s="442"/>
      <c r="Q99" s="443"/>
    </row>
    <row r="100" spans="1:17" x14ac:dyDescent="0.25">
      <c r="A100" s="50"/>
      <c r="B100" s="51"/>
      <c r="C100" s="51"/>
      <c r="D100" s="51"/>
      <c r="E100" s="51"/>
      <c r="F100" s="51"/>
      <c r="G100" s="51"/>
      <c r="H100" s="51"/>
      <c r="I100" s="51"/>
      <c r="J100" s="51"/>
      <c r="K100" s="82"/>
      <c r="L100" s="441"/>
      <c r="M100" s="442"/>
      <c r="N100" s="442"/>
      <c r="O100" s="442"/>
      <c r="P100" s="442"/>
      <c r="Q100" s="443"/>
    </row>
    <row r="101" spans="1:17" x14ac:dyDescent="0.25">
      <c r="A101" s="50"/>
      <c r="B101" s="51"/>
      <c r="C101" s="51"/>
      <c r="D101" s="51"/>
      <c r="E101" s="51"/>
      <c r="F101" s="51"/>
      <c r="G101" s="51"/>
      <c r="H101" s="51"/>
      <c r="I101" s="51"/>
      <c r="J101" s="51"/>
      <c r="K101" s="82"/>
      <c r="L101" s="441"/>
      <c r="M101" s="442"/>
      <c r="N101" s="442"/>
      <c r="O101" s="442"/>
      <c r="P101" s="442"/>
      <c r="Q101" s="443"/>
    </row>
    <row r="102" spans="1:17" x14ac:dyDescent="0.25">
      <c r="A102" s="50"/>
      <c r="B102" s="51" t="s">
        <v>624</v>
      </c>
      <c r="C102" s="51"/>
      <c r="D102" s="51"/>
      <c r="E102" s="51"/>
      <c r="F102" s="51"/>
      <c r="G102" s="51" t="s">
        <v>625</v>
      </c>
      <c r="H102" s="51"/>
      <c r="I102" s="51"/>
      <c r="J102" s="51"/>
      <c r="K102" s="82"/>
      <c r="L102" s="441"/>
      <c r="M102" s="442"/>
      <c r="N102" s="442"/>
      <c r="O102" s="442"/>
      <c r="P102" s="442"/>
      <c r="Q102" s="443"/>
    </row>
    <row r="103" spans="1:17" x14ac:dyDescent="0.25">
      <c r="A103" s="242"/>
      <c r="B103" s="168"/>
      <c r="C103" s="72"/>
      <c r="D103" s="72"/>
      <c r="E103" s="72"/>
      <c r="F103" s="72"/>
      <c r="G103" s="72"/>
      <c r="H103" s="72"/>
      <c r="I103" s="72"/>
      <c r="J103" s="72"/>
      <c r="K103" s="83"/>
      <c r="L103" s="444"/>
      <c r="M103" s="445"/>
      <c r="N103" s="445"/>
      <c r="O103" s="445"/>
      <c r="P103" s="445"/>
      <c r="Q103" s="446"/>
    </row>
    <row r="104" spans="1:17" x14ac:dyDescent="0.25">
      <c r="A104" s="240" t="s">
        <v>659</v>
      </c>
      <c r="B104" s="216" t="s">
        <v>660</v>
      </c>
      <c r="C104" s="49"/>
      <c r="D104" s="49"/>
      <c r="E104" s="49"/>
      <c r="F104" s="49"/>
      <c r="G104" s="49"/>
      <c r="H104" s="49"/>
      <c r="I104" s="49"/>
      <c r="J104" s="49"/>
      <c r="K104" s="373" t="s">
        <v>684</v>
      </c>
      <c r="L104" s="200"/>
      <c r="M104" s="382"/>
      <c r="N104" s="382"/>
      <c r="O104" s="382"/>
      <c r="P104" s="382"/>
      <c r="Q104" s="383"/>
    </row>
    <row r="105" spans="1:17" x14ac:dyDescent="0.25">
      <c r="A105" s="242"/>
      <c r="B105" s="168" t="s">
        <v>661</v>
      </c>
      <c r="C105" s="72"/>
      <c r="D105" s="72"/>
      <c r="E105" s="72"/>
      <c r="F105" s="72"/>
      <c r="G105" s="72"/>
      <c r="H105" s="72"/>
      <c r="I105" s="72"/>
      <c r="J105" s="72"/>
      <c r="K105" s="374" t="s">
        <v>662</v>
      </c>
      <c r="L105" s="444"/>
      <c r="M105" s="445"/>
      <c r="N105" s="445"/>
      <c r="O105" s="445"/>
      <c r="P105" s="445"/>
      <c r="Q105" s="446"/>
    </row>
    <row r="106" spans="1:17" x14ac:dyDescent="0.25">
      <c r="A106" s="51"/>
      <c r="I106" s="44"/>
      <c r="J106" s="44"/>
      <c r="K106" s="44"/>
      <c r="L106" s="44"/>
      <c r="M106" s="44"/>
      <c r="N106" s="44"/>
      <c r="O106" s="44"/>
      <c r="P106" s="44"/>
      <c r="Q106" s="44"/>
    </row>
    <row r="107" spans="1:17" x14ac:dyDescent="0.25">
      <c r="A107" s="53" t="s">
        <v>266</v>
      </c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</row>
    <row r="109" spans="1:17" x14ac:dyDescent="0.25">
      <c r="A109" s="200"/>
      <c r="B109" s="216" t="s">
        <v>112</v>
      </c>
      <c r="C109" s="216"/>
      <c r="D109" s="216"/>
      <c r="E109" s="216"/>
      <c r="F109" s="216"/>
      <c r="G109" s="237"/>
      <c r="H109" s="216"/>
      <c r="I109" s="216"/>
      <c r="J109" s="216"/>
      <c r="K109" s="217"/>
      <c r="L109" s="195"/>
    </row>
    <row r="110" spans="1:17" x14ac:dyDescent="0.25">
      <c r="A110" s="117"/>
      <c r="B110" s="215" t="s">
        <v>413</v>
      </c>
      <c r="C110" s="215"/>
      <c r="D110" s="215"/>
      <c r="E110" s="215"/>
      <c r="F110" s="215"/>
      <c r="G110" s="219"/>
      <c r="H110" s="215"/>
      <c r="I110" s="215"/>
      <c r="J110" s="215"/>
      <c r="K110" s="226"/>
      <c r="L110" s="193"/>
      <c r="M110" s="213"/>
    </row>
    <row r="111" spans="1:17" x14ac:dyDescent="0.25">
      <c r="A111" s="392"/>
      <c r="B111" s="168"/>
      <c r="C111" s="168"/>
      <c r="D111" s="168"/>
      <c r="E111" s="168"/>
      <c r="F111" s="168"/>
      <c r="G111" s="169"/>
      <c r="H111" s="168"/>
      <c r="I111" s="168"/>
      <c r="J111" s="168"/>
      <c r="K111" s="232"/>
      <c r="L111" s="193"/>
      <c r="M111" s="213"/>
    </row>
    <row r="112" spans="1:17" x14ac:dyDescent="0.25">
      <c r="A112" s="55" t="s">
        <v>42</v>
      </c>
      <c r="B112" s="55" t="s">
        <v>105</v>
      </c>
      <c r="C112" s="181" t="s">
        <v>275</v>
      </c>
      <c r="D112" s="183"/>
      <c r="E112" s="55" t="s">
        <v>46</v>
      </c>
      <c r="F112" s="55" t="s">
        <v>53</v>
      </c>
      <c r="G112" s="55" t="s">
        <v>44</v>
      </c>
      <c r="H112" s="55" t="s">
        <v>45</v>
      </c>
      <c r="I112" s="55" t="s">
        <v>102</v>
      </c>
      <c r="J112" s="55" t="s">
        <v>100</v>
      </c>
      <c r="K112" s="272" t="s">
        <v>278</v>
      </c>
      <c r="L112" s="55" t="s">
        <v>436</v>
      </c>
    </row>
    <row r="113" spans="1:18" x14ac:dyDescent="0.25">
      <c r="A113" s="56"/>
      <c r="B113" s="56"/>
      <c r="C113" s="175"/>
      <c r="D113" s="176"/>
      <c r="E113" s="56" t="s">
        <v>48</v>
      </c>
      <c r="F113" s="56" t="s">
        <v>54</v>
      </c>
      <c r="G113" s="56"/>
      <c r="H113" s="56"/>
      <c r="I113" s="56" t="s">
        <v>293</v>
      </c>
      <c r="J113" s="56" t="s">
        <v>101</v>
      </c>
      <c r="K113" s="164" t="s">
        <v>279</v>
      </c>
      <c r="L113" s="56" t="s">
        <v>439</v>
      </c>
    </row>
    <row r="114" spans="1:18" x14ac:dyDescent="0.25">
      <c r="A114" s="57"/>
      <c r="B114" s="57"/>
      <c r="C114" s="177"/>
      <c r="D114" s="178"/>
      <c r="E114" s="57"/>
      <c r="F114" s="57"/>
      <c r="G114" s="57"/>
      <c r="H114" s="57"/>
      <c r="I114" s="57" t="s">
        <v>103</v>
      </c>
      <c r="J114" s="57" t="s">
        <v>277</v>
      </c>
      <c r="K114" s="187" t="s">
        <v>103</v>
      </c>
      <c r="L114" s="172"/>
    </row>
    <row r="115" spans="1:18" x14ac:dyDescent="0.25">
      <c r="A115" s="133">
        <v>1</v>
      </c>
      <c r="B115" s="105"/>
      <c r="C115" s="453"/>
      <c r="D115" s="455"/>
      <c r="E115" s="105"/>
      <c r="F115" s="105"/>
      <c r="G115" s="105"/>
      <c r="H115" s="105"/>
      <c r="I115" s="105"/>
      <c r="J115" s="105"/>
      <c r="K115" s="105"/>
      <c r="L115" s="220" t="s">
        <v>437</v>
      </c>
    </row>
    <row r="116" spans="1:18" x14ac:dyDescent="0.25">
      <c r="A116" s="134">
        <v>2</v>
      </c>
      <c r="B116" s="107"/>
      <c r="C116" s="444"/>
      <c r="D116" s="446"/>
      <c r="E116" s="107"/>
      <c r="F116" s="107"/>
      <c r="G116" s="107"/>
      <c r="H116" s="107"/>
      <c r="I116" s="107"/>
      <c r="J116" s="107"/>
      <c r="K116" s="107"/>
      <c r="L116" s="223" t="s">
        <v>438</v>
      </c>
    </row>
    <row r="119" spans="1:18" ht="18.75" x14ac:dyDescent="0.3">
      <c r="A119" s="43" t="s">
        <v>314</v>
      </c>
      <c r="B119" s="45"/>
      <c r="C119" s="45"/>
      <c r="D119" s="45"/>
      <c r="E119" s="45"/>
      <c r="F119" s="43" t="s">
        <v>632</v>
      </c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51"/>
    </row>
    <row r="121" spans="1:18" x14ac:dyDescent="0.25">
      <c r="A121" s="46" t="s">
        <v>267</v>
      </c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68" t="s">
        <v>90</v>
      </c>
      <c r="M121" s="47"/>
      <c r="N121" s="47"/>
      <c r="O121" s="47"/>
      <c r="P121" s="47"/>
      <c r="Q121" s="47"/>
    </row>
    <row r="122" spans="1:18" x14ac:dyDescent="0.25">
      <c r="A122" s="48" t="s">
        <v>40</v>
      </c>
      <c r="B122" s="49" t="s">
        <v>66</v>
      </c>
      <c r="C122" s="49"/>
      <c r="D122" s="49"/>
      <c r="E122" s="49"/>
      <c r="F122" s="49"/>
      <c r="G122" s="49"/>
      <c r="H122" s="49"/>
      <c r="I122" s="49"/>
      <c r="J122" s="49"/>
      <c r="K122" s="264"/>
      <c r="L122" s="453"/>
      <c r="M122" s="454"/>
      <c r="N122" s="454"/>
      <c r="O122" s="454"/>
      <c r="P122" s="454"/>
      <c r="Q122" s="455"/>
    </row>
    <row r="123" spans="1:18" x14ac:dyDescent="0.25">
      <c r="A123" s="50" t="s">
        <v>646</v>
      </c>
      <c r="B123" s="51" t="s">
        <v>535</v>
      </c>
      <c r="C123" s="51"/>
      <c r="D123" s="51"/>
      <c r="E123" s="51"/>
      <c r="F123" s="51"/>
      <c r="G123" s="51"/>
      <c r="H123" s="51"/>
      <c r="I123" s="51"/>
      <c r="J123" s="51"/>
      <c r="K123" s="82"/>
      <c r="L123" s="441"/>
      <c r="M123" s="442"/>
      <c r="N123" s="442"/>
      <c r="O123" s="442"/>
      <c r="P123" s="442"/>
      <c r="Q123" s="443"/>
    </row>
    <row r="124" spans="1:18" x14ac:dyDescent="0.25">
      <c r="A124" s="50"/>
      <c r="B124" s="51" t="s">
        <v>415</v>
      </c>
      <c r="C124" s="51"/>
      <c r="D124" s="51"/>
      <c r="E124" s="51"/>
      <c r="F124" s="51"/>
      <c r="G124" s="51"/>
      <c r="H124" s="51"/>
      <c r="I124" s="51"/>
      <c r="J124" s="51"/>
      <c r="K124" s="82"/>
      <c r="L124" s="441"/>
      <c r="M124" s="442"/>
      <c r="N124" s="442"/>
      <c r="O124" s="442"/>
      <c r="P124" s="442"/>
      <c r="Q124" s="443"/>
    </row>
    <row r="125" spans="1:18" x14ac:dyDescent="0.25">
      <c r="A125" s="50"/>
      <c r="B125" s="51" t="s">
        <v>795</v>
      </c>
      <c r="C125" s="51"/>
      <c r="D125" s="51"/>
      <c r="E125" s="51"/>
      <c r="F125" s="51"/>
      <c r="G125" s="51"/>
      <c r="H125" s="51"/>
      <c r="I125" s="51"/>
      <c r="J125" s="51"/>
      <c r="K125" s="82"/>
      <c r="L125" s="441"/>
      <c r="M125" s="442"/>
      <c r="N125" s="442"/>
      <c r="O125" s="442"/>
      <c r="P125" s="442"/>
      <c r="Q125" s="443"/>
    </row>
    <row r="126" spans="1:18" x14ac:dyDescent="0.25">
      <c r="A126" s="50"/>
      <c r="B126" s="51" t="s">
        <v>796</v>
      </c>
      <c r="C126" s="51"/>
      <c r="D126" s="51"/>
      <c r="E126" s="51"/>
      <c r="F126" s="51"/>
      <c r="G126" s="51"/>
      <c r="H126" s="51"/>
      <c r="I126" s="51"/>
      <c r="J126" s="51"/>
      <c r="K126" s="82"/>
      <c r="L126" s="441"/>
      <c r="M126" s="442"/>
      <c r="N126" s="442"/>
      <c r="O126" s="442"/>
      <c r="P126" s="442"/>
      <c r="Q126" s="443"/>
    </row>
    <row r="127" spans="1:18" x14ac:dyDescent="0.25">
      <c r="A127" s="50" t="s">
        <v>797</v>
      </c>
      <c r="B127" s="51" t="s">
        <v>344</v>
      </c>
      <c r="C127" s="51"/>
      <c r="D127" s="51"/>
      <c r="E127" s="51"/>
      <c r="F127" s="51"/>
      <c r="G127" s="51"/>
      <c r="H127" s="51"/>
      <c r="I127" s="51"/>
      <c r="J127" s="51"/>
      <c r="K127" s="82"/>
      <c r="L127" s="441"/>
      <c r="M127" s="442"/>
      <c r="N127" s="442"/>
      <c r="O127" s="442"/>
      <c r="P127" s="442"/>
      <c r="Q127" s="443"/>
    </row>
    <row r="128" spans="1:18" x14ac:dyDescent="0.25">
      <c r="A128" s="50"/>
      <c r="B128" s="51" t="s">
        <v>345</v>
      </c>
      <c r="C128" s="51"/>
      <c r="D128" s="51"/>
      <c r="E128" s="51"/>
      <c r="F128" s="51"/>
      <c r="G128" s="51"/>
      <c r="H128" s="51"/>
      <c r="I128" s="51"/>
      <c r="J128" s="51"/>
      <c r="K128" s="82"/>
      <c r="L128" s="441"/>
      <c r="M128" s="442"/>
      <c r="N128" s="442"/>
      <c r="O128" s="442"/>
      <c r="P128" s="442"/>
      <c r="Q128" s="443"/>
    </row>
    <row r="129" spans="1:17" x14ac:dyDescent="0.25">
      <c r="A129" s="50"/>
      <c r="B129" s="51" t="s">
        <v>346</v>
      </c>
      <c r="C129" s="51"/>
      <c r="D129" s="51"/>
      <c r="E129" s="51"/>
      <c r="F129" s="51"/>
      <c r="G129" s="51"/>
      <c r="H129" s="51"/>
      <c r="I129" s="51"/>
      <c r="J129" s="51"/>
      <c r="K129" s="82"/>
      <c r="L129" s="441"/>
      <c r="M129" s="442"/>
      <c r="N129" s="442"/>
      <c r="O129" s="442"/>
      <c r="P129" s="442"/>
      <c r="Q129" s="443"/>
    </row>
    <row r="130" spans="1:17" x14ac:dyDescent="0.25">
      <c r="A130" s="50"/>
      <c r="B130" s="23" t="s">
        <v>536</v>
      </c>
      <c r="C130" s="51"/>
      <c r="D130" s="51"/>
      <c r="E130" s="51"/>
      <c r="F130" s="51"/>
      <c r="G130" s="51"/>
      <c r="H130" s="51"/>
      <c r="I130" s="51"/>
      <c r="J130" s="51"/>
      <c r="K130" s="82"/>
      <c r="L130" s="441"/>
      <c r="M130" s="442"/>
      <c r="N130" s="442"/>
      <c r="O130" s="442"/>
      <c r="P130" s="442"/>
      <c r="Q130" s="443"/>
    </row>
    <row r="131" spans="1:17" x14ac:dyDescent="0.25">
      <c r="A131" s="50"/>
      <c r="B131" s="51" t="s">
        <v>149</v>
      </c>
      <c r="C131" s="51"/>
      <c r="D131" s="51"/>
      <c r="E131" s="51"/>
      <c r="F131" s="51"/>
      <c r="G131" s="51"/>
      <c r="H131" s="51"/>
      <c r="I131" s="51"/>
      <c r="J131" s="51"/>
      <c r="K131" s="82"/>
      <c r="L131" s="441"/>
      <c r="M131" s="442"/>
      <c r="N131" s="442"/>
      <c r="O131" s="442"/>
      <c r="P131" s="442"/>
      <c r="Q131" s="443"/>
    </row>
    <row r="132" spans="1:17" x14ac:dyDescent="0.25">
      <c r="A132" s="50"/>
      <c r="B132" s="51" t="s">
        <v>537</v>
      </c>
      <c r="C132" s="51"/>
      <c r="D132" s="51"/>
      <c r="E132" s="51"/>
      <c r="F132" s="51"/>
      <c r="G132" s="51"/>
      <c r="H132" s="51"/>
      <c r="I132" s="51"/>
      <c r="J132" s="51"/>
      <c r="K132" s="82"/>
      <c r="L132" s="441"/>
      <c r="M132" s="442"/>
      <c r="N132" s="442"/>
      <c r="O132" s="442"/>
      <c r="P132" s="442"/>
      <c r="Q132" s="443"/>
    </row>
    <row r="133" spans="1:17" x14ac:dyDescent="0.25">
      <c r="A133" s="50"/>
      <c r="B133" s="215" t="s">
        <v>798</v>
      </c>
      <c r="C133" s="51"/>
      <c r="D133" s="51"/>
      <c r="E133" s="51"/>
      <c r="F133" s="51"/>
      <c r="G133" s="51"/>
      <c r="H133" s="51"/>
      <c r="I133" s="51"/>
      <c r="J133" s="51"/>
      <c r="K133" s="82"/>
      <c r="L133" s="441"/>
      <c r="M133" s="442"/>
      <c r="N133" s="442"/>
      <c r="O133" s="442"/>
      <c r="P133" s="442"/>
      <c r="Q133" s="443"/>
    </row>
    <row r="134" spans="1:17" x14ac:dyDescent="0.25">
      <c r="A134" s="50"/>
      <c r="B134" s="51" t="s">
        <v>799</v>
      </c>
      <c r="C134" s="51"/>
      <c r="D134" s="51"/>
      <c r="E134" s="51"/>
      <c r="F134" s="51"/>
      <c r="G134" s="51"/>
      <c r="H134" s="51"/>
      <c r="I134" s="51"/>
      <c r="J134" s="51"/>
      <c r="K134" s="82"/>
      <c r="L134" s="441"/>
      <c r="M134" s="442"/>
      <c r="N134" s="442"/>
      <c r="O134" s="442"/>
      <c r="P134" s="442"/>
      <c r="Q134" s="443"/>
    </row>
    <row r="135" spans="1:17" x14ac:dyDescent="0.25">
      <c r="A135" s="50"/>
      <c r="B135" s="51" t="s">
        <v>803</v>
      </c>
      <c r="C135" s="51"/>
      <c r="D135" s="51"/>
      <c r="E135" s="51"/>
      <c r="F135" s="51"/>
      <c r="G135" s="51"/>
      <c r="H135" s="51"/>
      <c r="I135" s="51"/>
      <c r="J135" s="51"/>
      <c r="K135" s="82"/>
      <c r="L135" s="441"/>
      <c r="M135" s="442"/>
      <c r="N135" s="442"/>
      <c r="O135" s="442"/>
      <c r="P135" s="442"/>
      <c r="Q135" s="443"/>
    </row>
    <row r="136" spans="1:17" x14ac:dyDescent="0.25">
      <c r="A136" s="50"/>
      <c r="B136" s="51" t="s">
        <v>351</v>
      </c>
      <c r="C136" s="51"/>
      <c r="D136" s="51"/>
      <c r="E136" s="51"/>
      <c r="F136" s="51"/>
      <c r="G136" s="51"/>
      <c r="H136" s="51"/>
      <c r="I136" s="51"/>
      <c r="J136" s="51"/>
      <c r="K136" s="82"/>
      <c r="L136" s="441"/>
      <c r="M136" s="442"/>
      <c r="N136" s="442"/>
      <c r="O136" s="442"/>
      <c r="P136" s="442"/>
      <c r="Q136" s="443"/>
    </row>
    <row r="137" spans="1:17" x14ac:dyDescent="0.25">
      <c r="A137" s="50"/>
      <c r="B137" s="51" t="s">
        <v>352</v>
      </c>
      <c r="C137" s="51"/>
      <c r="D137" s="51"/>
      <c r="E137" s="51"/>
      <c r="F137" s="51"/>
      <c r="G137" s="51"/>
      <c r="H137" s="51"/>
      <c r="I137" s="51"/>
      <c r="J137" s="51"/>
      <c r="K137" s="82"/>
      <c r="L137" s="441"/>
      <c r="M137" s="442"/>
      <c r="N137" s="442"/>
      <c r="O137" s="442"/>
      <c r="P137" s="442"/>
      <c r="Q137" s="443"/>
    </row>
    <row r="138" spans="1:17" x14ac:dyDescent="0.25">
      <c r="A138" s="50"/>
      <c r="B138" s="23" t="s">
        <v>488</v>
      </c>
      <c r="C138" s="51"/>
      <c r="D138" s="51"/>
      <c r="E138" s="51"/>
      <c r="F138" s="51"/>
      <c r="G138" s="51"/>
      <c r="H138" s="51"/>
      <c r="I138" s="51"/>
      <c r="J138" s="51"/>
      <c r="K138" s="82"/>
      <c r="L138" s="441"/>
      <c r="M138" s="442"/>
      <c r="N138" s="442"/>
      <c r="O138" s="442"/>
      <c r="P138" s="442"/>
      <c r="Q138" s="443"/>
    </row>
    <row r="139" spans="1:17" x14ac:dyDescent="0.25">
      <c r="A139" s="50"/>
      <c r="B139" s="51" t="s">
        <v>800</v>
      </c>
      <c r="C139" s="51"/>
      <c r="D139" s="51"/>
      <c r="E139" s="51"/>
      <c r="F139" s="51"/>
      <c r="G139" s="51"/>
      <c r="H139" s="51"/>
      <c r="I139" s="51"/>
      <c r="J139" s="51"/>
      <c r="K139" s="82"/>
      <c r="L139" s="441"/>
      <c r="M139" s="442"/>
      <c r="N139" s="442"/>
      <c r="O139" s="442"/>
      <c r="P139" s="442"/>
      <c r="Q139" s="443"/>
    </row>
    <row r="140" spans="1:17" x14ac:dyDescent="0.25">
      <c r="A140" s="50"/>
      <c r="B140" s="51" t="s">
        <v>801</v>
      </c>
      <c r="C140" s="51"/>
      <c r="D140" s="51"/>
      <c r="E140" s="51"/>
      <c r="F140" s="51"/>
      <c r="G140" s="51"/>
      <c r="H140" s="51"/>
      <c r="I140" s="51"/>
      <c r="J140" s="51"/>
      <c r="K140" s="82"/>
      <c r="L140" s="441"/>
      <c r="M140" s="442"/>
      <c r="N140" s="442"/>
      <c r="O140" s="442"/>
      <c r="P140" s="442"/>
      <c r="Q140" s="443"/>
    </row>
    <row r="141" spans="1:17" x14ac:dyDescent="0.25">
      <c r="A141" s="50" t="s">
        <v>41</v>
      </c>
      <c r="B141" s="51" t="s">
        <v>802</v>
      </c>
      <c r="C141" s="51"/>
      <c r="D141" s="51"/>
      <c r="E141" s="51"/>
      <c r="F141" s="51"/>
      <c r="G141" s="51"/>
      <c r="H141" s="51"/>
      <c r="I141" s="51"/>
      <c r="J141" s="51"/>
      <c r="K141" s="82"/>
      <c r="L141" s="441"/>
      <c r="M141" s="442"/>
      <c r="N141" s="442"/>
      <c r="O141" s="442"/>
      <c r="P141" s="442"/>
      <c r="Q141" s="443"/>
    </row>
    <row r="142" spans="1:17" x14ac:dyDescent="0.25">
      <c r="A142" s="50"/>
      <c r="B142" s="51"/>
      <c r="C142" s="51"/>
      <c r="D142" s="51"/>
      <c r="E142" s="51"/>
      <c r="F142" s="51"/>
      <c r="G142" s="51"/>
      <c r="H142" s="51"/>
      <c r="I142" s="51"/>
      <c r="J142" s="51"/>
      <c r="K142" s="82"/>
      <c r="L142" s="441"/>
      <c r="M142" s="442"/>
      <c r="N142" s="442"/>
      <c r="O142" s="442"/>
      <c r="P142" s="442"/>
      <c r="Q142" s="443"/>
    </row>
    <row r="143" spans="1:17" x14ac:dyDescent="0.25">
      <c r="A143" s="50"/>
      <c r="B143" s="61"/>
      <c r="C143" s="51"/>
      <c r="D143" s="51"/>
      <c r="E143" s="51"/>
      <c r="F143" s="51"/>
      <c r="G143" s="51"/>
      <c r="H143" s="51"/>
      <c r="I143" s="51"/>
      <c r="J143" s="51"/>
      <c r="K143" s="82"/>
      <c r="L143" s="441"/>
      <c r="M143" s="442"/>
      <c r="N143" s="442"/>
      <c r="O143" s="442"/>
      <c r="P143" s="442"/>
      <c r="Q143" s="443"/>
    </row>
    <row r="144" spans="1:17" x14ac:dyDescent="0.25">
      <c r="A144" s="50"/>
      <c r="B144" s="51"/>
      <c r="C144" s="51"/>
      <c r="D144" s="51"/>
      <c r="E144" s="51"/>
      <c r="F144" s="51"/>
      <c r="G144" s="51"/>
      <c r="H144" s="51"/>
      <c r="I144" s="51"/>
      <c r="J144" s="51"/>
      <c r="K144" s="82"/>
      <c r="L144" s="441"/>
      <c r="M144" s="442"/>
      <c r="N144" s="442"/>
      <c r="O144" s="442"/>
      <c r="P144" s="442"/>
      <c r="Q144" s="443"/>
    </row>
    <row r="145" spans="1:17" x14ac:dyDescent="0.25">
      <c r="A145" s="50"/>
      <c r="B145" s="51"/>
      <c r="C145" s="51"/>
      <c r="D145" s="51"/>
      <c r="E145" s="51"/>
      <c r="F145" s="51"/>
      <c r="G145" s="51"/>
      <c r="H145" s="51"/>
      <c r="I145" s="51"/>
      <c r="J145" s="51"/>
      <c r="K145" s="82"/>
      <c r="L145" s="441"/>
      <c r="M145" s="442"/>
      <c r="N145" s="442"/>
      <c r="O145" s="442"/>
      <c r="P145" s="442"/>
      <c r="Q145" s="443"/>
    </row>
    <row r="146" spans="1:17" x14ac:dyDescent="0.25">
      <c r="A146" s="50"/>
      <c r="B146" s="51"/>
      <c r="C146" s="51"/>
      <c r="D146" s="51"/>
      <c r="E146" s="51"/>
      <c r="F146" s="51"/>
      <c r="G146" s="51"/>
      <c r="H146" s="51"/>
      <c r="I146" s="51"/>
      <c r="J146" s="51"/>
      <c r="K146" s="82"/>
      <c r="L146" s="441"/>
      <c r="M146" s="442"/>
      <c r="N146" s="442"/>
      <c r="O146" s="442"/>
      <c r="P146" s="442"/>
      <c r="Q146" s="443"/>
    </row>
    <row r="147" spans="1:17" x14ac:dyDescent="0.25">
      <c r="A147" s="50"/>
      <c r="B147" s="51"/>
      <c r="C147" s="51"/>
      <c r="D147" s="51"/>
      <c r="E147" s="51"/>
      <c r="F147" s="51"/>
      <c r="G147" s="51"/>
      <c r="H147" s="51"/>
      <c r="I147" s="51"/>
      <c r="J147" s="51"/>
      <c r="K147" s="82"/>
      <c r="L147" s="441"/>
      <c r="M147" s="442"/>
      <c r="N147" s="442"/>
      <c r="O147" s="442"/>
      <c r="P147" s="442"/>
      <c r="Q147" s="443"/>
    </row>
    <row r="148" spans="1:17" x14ac:dyDescent="0.25">
      <c r="A148" s="50"/>
      <c r="B148" s="51"/>
      <c r="C148" s="51"/>
      <c r="D148" s="51"/>
      <c r="E148" s="51"/>
      <c r="F148" s="51"/>
      <c r="G148" s="51"/>
      <c r="H148" s="51"/>
      <c r="I148" s="51"/>
      <c r="J148" s="51"/>
      <c r="K148" s="82"/>
      <c r="L148" s="441"/>
      <c r="M148" s="442"/>
      <c r="N148" s="442"/>
      <c r="O148" s="442"/>
      <c r="P148" s="442"/>
      <c r="Q148" s="443"/>
    </row>
    <row r="149" spans="1:17" x14ac:dyDescent="0.25">
      <c r="A149" s="50"/>
      <c r="B149" s="51"/>
      <c r="C149" s="51"/>
      <c r="D149" s="51"/>
      <c r="E149" s="51"/>
      <c r="F149" s="51"/>
      <c r="G149" s="51"/>
      <c r="H149" s="51"/>
      <c r="I149" s="51"/>
      <c r="J149" s="51"/>
      <c r="K149" s="82"/>
      <c r="L149" s="441"/>
      <c r="M149" s="442"/>
      <c r="N149" s="442"/>
      <c r="O149" s="442"/>
      <c r="P149" s="442"/>
      <c r="Q149" s="443"/>
    </row>
    <row r="150" spans="1:17" x14ac:dyDescent="0.25">
      <c r="A150" s="50"/>
      <c r="B150" s="51"/>
      <c r="C150" s="51"/>
      <c r="D150" s="51"/>
      <c r="E150" s="51"/>
      <c r="F150" s="51"/>
      <c r="G150" s="51"/>
      <c r="H150" s="51"/>
      <c r="I150" s="51"/>
      <c r="J150" s="51"/>
      <c r="K150" s="82"/>
      <c r="L150" s="441"/>
      <c r="M150" s="442"/>
      <c r="N150" s="442"/>
      <c r="O150" s="442"/>
      <c r="P150" s="442"/>
      <c r="Q150" s="443"/>
    </row>
    <row r="151" spans="1:17" x14ac:dyDescent="0.25">
      <c r="A151" s="50"/>
      <c r="B151" s="51"/>
      <c r="C151" s="51"/>
      <c r="D151" s="51"/>
      <c r="E151" s="51"/>
      <c r="F151" s="51"/>
      <c r="G151" s="51"/>
      <c r="H151" s="51"/>
      <c r="I151" s="51"/>
      <c r="J151" s="51"/>
      <c r="K151" s="82"/>
      <c r="L151" s="441"/>
      <c r="M151" s="442"/>
      <c r="N151" s="442"/>
      <c r="O151" s="442"/>
      <c r="P151" s="442"/>
      <c r="Q151" s="443"/>
    </row>
    <row r="152" spans="1:17" x14ac:dyDescent="0.25">
      <c r="A152" s="50"/>
      <c r="B152" s="51"/>
      <c r="C152" s="51"/>
      <c r="D152" s="51"/>
      <c r="E152" s="51"/>
      <c r="F152" s="51"/>
      <c r="G152" s="51"/>
      <c r="H152" s="51"/>
      <c r="I152" s="51"/>
      <c r="J152" s="51"/>
      <c r="K152" s="82"/>
      <c r="L152" s="441"/>
      <c r="M152" s="442"/>
      <c r="N152" s="442"/>
      <c r="O152" s="442"/>
      <c r="P152" s="442"/>
      <c r="Q152" s="443"/>
    </row>
    <row r="153" spans="1:17" x14ac:dyDescent="0.25">
      <c r="A153" s="50"/>
      <c r="B153" s="51"/>
      <c r="C153" s="51"/>
      <c r="D153" s="51"/>
      <c r="E153" s="51"/>
      <c r="F153" s="51"/>
      <c r="G153" s="51"/>
      <c r="H153" s="51"/>
      <c r="I153" s="51"/>
      <c r="J153" s="51"/>
      <c r="K153" s="82"/>
      <c r="L153" s="441"/>
      <c r="M153" s="442"/>
      <c r="N153" s="442"/>
      <c r="O153" s="442"/>
      <c r="P153" s="442"/>
      <c r="Q153" s="443"/>
    </row>
    <row r="154" spans="1:17" x14ac:dyDescent="0.25">
      <c r="A154" s="50"/>
      <c r="B154" s="51" t="s">
        <v>626</v>
      </c>
      <c r="C154" s="51"/>
      <c r="D154" s="51"/>
      <c r="E154" s="51"/>
      <c r="F154" s="51"/>
      <c r="G154" s="51"/>
      <c r="H154" s="51"/>
      <c r="I154" s="51"/>
      <c r="J154" s="51"/>
      <c r="K154" s="82"/>
      <c r="L154" s="441"/>
      <c r="M154" s="442"/>
      <c r="N154" s="442"/>
      <c r="O154" s="442"/>
      <c r="P154" s="442"/>
      <c r="Q154" s="443"/>
    </row>
    <row r="155" spans="1:17" x14ac:dyDescent="0.25">
      <c r="A155" s="73"/>
      <c r="B155" s="72"/>
      <c r="C155" s="72"/>
      <c r="D155" s="72"/>
      <c r="E155" s="72"/>
      <c r="F155" s="72"/>
      <c r="G155" s="72"/>
      <c r="H155" s="72"/>
      <c r="I155" s="72"/>
      <c r="J155" s="72"/>
      <c r="K155" s="83"/>
      <c r="L155" s="444"/>
      <c r="M155" s="445"/>
      <c r="N155" s="445"/>
      <c r="O155" s="445"/>
      <c r="P155" s="445"/>
      <c r="Q155" s="446"/>
    </row>
    <row r="156" spans="1:17" x14ac:dyDescent="0.25">
      <c r="A156" s="240" t="s">
        <v>659</v>
      </c>
      <c r="B156" s="216" t="s">
        <v>660</v>
      </c>
      <c r="C156" s="49"/>
      <c r="D156" s="49"/>
      <c r="E156" s="49"/>
      <c r="F156" s="49"/>
      <c r="G156" s="49"/>
      <c r="H156" s="49"/>
      <c r="I156" s="49"/>
      <c r="J156" s="49"/>
      <c r="K156" s="373" t="s">
        <v>684</v>
      </c>
      <c r="L156" s="200"/>
      <c r="M156" s="382"/>
      <c r="N156" s="382"/>
      <c r="O156" s="382"/>
      <c r="P156" s="382"/>
      <c r="Q156" s="383"/>
    </row>
    <row r="157" spans="1:17" x14ac:dyDescent="0.25">
      <c r="A157" s="242"/>
      <c r="B157" s="168" t="s">
        <v>661</v>
      </c>
      <c r="C157" s="72"/>
      <c r="D157" s="72"/>
      <c r="E157" s="72"/>
      <c r="F157" s="72"/>
      <c r="G157" s="72"/>
      <c r="H157" s="72"/>
      <c r="I157" s="72"/>
      <c r="J157" s="72"/>
      <c r="K157" s="374" t="s">
        <v>662</v>
      </c>
      <c r="L157" s="444"/>
      <c r="M157" s="445"/>
      <c r="N157" s="445"/>
      <c r="O157" s="445"/>
      <c r="P157" s="445"/>
      <c r="Q157" s="446"/>
    </row>
    <row r="158" spans="1:17" x14ac:dyDescent="0.25">
      <c r="A158" s="51"/>
      <c r="I158" s="44"/>
      <c r="J158" s="44"/>
      <c r="K158" s="44"/>
      <c r="L158" s="44"/>
      <c r="M158" s="44"/>
      <c r="N158" s="44"/>
      <c r="O158" s="44"/>
      <c r="P158" s="44"/>
      <c r="Q158" s="44"/>
    </row>
    <row r="159" spans="1:17" x14ac:dyDescent="0.25">
      <c r="A159" s="53" t="s">
        <v>268</v>
      </c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</row>
    <row r="160" spans="1:17" x14ac:dyDescent="0.25">
      <c r="A160" s="121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</row>
    <row r="161" spans="1:18" x14ac:dyDescent="0.25">
      <c r="A161" s="200"/>
      <c r="B161" s="216" t="s">
        <v>112</v>
      </c>
      <c r="C161" s="216"/>
      <c r="D161" s="216"/>
      <c r="E161" s="216"/>
      <c r="F161" s="216"/>
      <c r="G161" s="216"/>
      <c r="H161" s="216"/>
      <c r="I161" s="217"/>
      <c r="J161" s="215"/>
      <c r="K161" s="215"/>
    </row>
    <row r="162" spans="1:18" x14ac:dyDescent="0.25">
      <c r="A162" s="117"/>
      <c r="B162" s="215" t="s">
        <v>414</v>
      </c>
      <c r="C162" s="215"/>
      <c r="D162" s="215"/>
      <c r="E162" s="215"/>
      <c r="F162" s="215"/>
      <c r="G162" s="215"/>
      <c r="H162" s="215"/>
      <c r="I162" s="226"/>
      <c r="J162" s="215"/>
      <c r="K162" s="215"/>
      <c r="L162" s="213"/>
    </row>
    <row r="163" spans="1:18" x14ac:dyDescent="0.25">
      <c r="A163" s="198"/>
      <c r="B163" s="215" t="s">
        <v>365</v>
      </c>
      <c r="C163" s="215"/>
      <c r="D163" s="215"/>
      <c r="E163" s="215"/>
      <c r="F163" s="215"/>
      <c r="G163" s="215"/>
      <c r="H163" s="215"/>
      <c r="I163" s="226"/>
      <c r="J163" s="215"/>
      <c r="K163" s="215"/>
      <c r="L163" s="213"/>
    </row>
    <row r="164" spans="1:18" x14ac:dyDescent="0.25">
      <c r="A164" s="242"/>
      <c r="B164" s="168"/>
      <c r="C164" s="168"/>
      <c r="D164" s="168"/>
      <c r="E164" s="168"/>
      <c r="F164" s="168"/>
      <c r="G164" s="168"/>
      <c r="H164" s="168"/>
      <c r="I164" s="232"/>
      <c r="J164" s="215"/>
      <c r="K164" s="215"/>
    </row>
    <row r="165" spans="1:18" x14ac:dyDescent="0.25">
      <c r="A165" s="55" t="s">
        <v>42</v>
      </c>
      <c r="B165" s="55" t="s">
        <v>105</v>
      </c>
      <c r="C165" s="181" t="s">
        <v>275</v>
      </c>
      <c r="D165" s="183"/>
      <c r="E165" s="55" t="s">
        <v>46</v>
      </c>
      <c r="F165" s="55" t="s">
        <v>53</v>
      </c>
      <c r="G165" s="55" t="s">
        <v>44</v>
      </c>
      <c r="H165" s="55" t="s">
        <v>45</v>
      </c>
      <c r="I165" s="55" t="s">
        <v>280</v>
      </c>
      <c r="J165" s="219"/>
      <c r="K165" s="51"/>
      <c r="L165" s="51"/>
      <c r="M165" s="219"/>
      <c r="N165" s="219"/>
      <c r="O165" s="219"/>
    </row>
    <row r="166" spans="1:18" x14ac:dyDescent="0.25">
      <c r="A166" s="56"/>
      <c r="B166" s="56"/>
      <c r="C166" s="175"/>
      <c r="D166" s="176"/>
      <c r="E166" s="56" t="s">
        <v>48</v>
      </c>
      <c r="F166" s="56" t="s">
        <v>54</v>
      </c>
      <c r="G166" s="56"/>
      <c r="H166" s="56"/>
      <c r="I166" s="56" t="s">
        <v>294</v>
      </c>
      <c r="J166" s="219"/>
      <c r="K166" s="51"/>
      <c r="L166" s="51"/>
      <c r="M166" s="219"/>
      <c r="N166" s="219"/>
      <c r="O166" s="219"/>
    </row>
    <row r="167" spans="1:18" x14ac:dyDescent="0.25">
      <c r="A167" s="57"/>
      <c r="B167" s="57"/>
      <c r="C167" s="177"/>
      <c r="D167" s="178"/>
      <c r="E167" s="57"/>
      <c r="F167" s="57"/>
      <c r="G167" s="57"/>
      <c r="H167" s="57"/>
      <c r="I167" s="57" t="s">
        <v>281</v>
      </c>
      <c r="J167" s="219"/>
      <c r="K167" s="51"/>
      <c r="L167" s="51"/>
      <c r="M167" s="219"/>
      <c r="N167" s="219"/>
      <c r="O167" s="219"/>
    </row>
    <row r="168" spans="1:18" x14ac:dyDescent="0.25">
      <c r="A168" s="58">
        <v>1</v>
      </c>
      <c r="B168" s="84"/>
      <c r="C168" s="417"/>
      <c r="D168" s="418"/>
      <c r="E168" s="84"/>
      <c r="F168" s="84"/>
      <c r="G168" s="84"/>
      <c r="H168" s="84"/>
      <c r="I168" s="84"/>
      <c r="J168" s="219"/>
      <c r="K168" s="51"/>
      <c r="L168" s="51"/>
      <c r="M168" s="219"/>
      <c r="N168" s="219"/>
      <c r="O168" s="219"/>
    </row>
    <row r="169" spans="1:18" x14ac:dyDescent="0.25">
      <c r="A169" s="58">
        <v>2</v>
      </c>
      <c r="B169" s="84"/>
      <c r="C169" s="417"/>
      <c r="D169" s="418"/>
      <c r="E169" s="84"/>
      <c r="F169" s="84"/>
      <c r="G169" s="84"/>
      <c r="H169" s="84"/>
      <c r="I169" s="84"/>
      <c r="J169" s="219"/>
      <c r="K169" s="51"/>
      <c r="L169" s="51"/>
      <c r="M169" s="219"/>
      <c r="N169" s="219"/>
      <c r="O169" s="219"/>
    </row>
    <row r="170" spans="1:18" x14ac:dyDescent="0.25">
      <c r="A170" s="58">
        <v>3</v>
      </c>
      <c r="B170" s="84"/>
      <c r="C170" s="417"/>
      <c r="D170" s="418"/>
      <c r="E170" s="84"/>
      <c r="F170" s="84"/>
      <c r="G170" s="84"/>
      <c r="H170" s="84"/>
      <c r="I170" s="84"/>
      <c r="J170" s="219"/>
      <c r="K170" s="51"/>
      <c r="L170" s="51"/>
      <c r="M170" s="219"/>
      <c r="N170" s="219"/>
      <c r="O170" s="219"/>
    </row>
    <row r="171" spans="1:18" x14ac:dyDescent="0.25">
      <c r="A171" s="58">
        <v>4</v>
      </c>
      <c r="B171" s="84"/>
      <c r="C171" s="417"/>
      <c r="D171" s="418"/>
      <c r="E171" s="84"/>
      <c r="F171" s="84"/>
      <c r="G171" s="84"/>
      <c r="H171" s="84"/>
      <c r="I171" s="84"/>
      <c r="J171" s="219"/>
      <c r="K171" s="51"/>
      <c r="L171" s="51"/>
      <c r="M171" s="219"/>
      <c r="N171" s="219"/>
      <c r="O171" s="219"/>
    </row>
    <row r="174" spans="1:18" ht="18.75" x14ac:dyDescent="0.3">
      <c r="A174" s="43" t="s">
        <v>411</v>
      </c>
      <c r="B174" s="45"/>
      <c r="C174" s="45"/>
      <c r="D174" s="45"/>
      <c r="E174" s="45"/>
      <c r="F174" s="43" t="s">
        <v>632</v>
      </c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51"/>
    </row>
    <row r="176" spans="1:18" x14ac:dyDescent="0.25">
      <c r="A176" s="46" t="s">
        <v>269</v>
      </c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68" t="s">
        <v>90</v>
      </c>
      <c r="M176" s="47"/>
      <c r="N176" s="47"/>
      <c r="O176" s="47"/>
      <c r="P176" s="47"/>
      <c r="Q176" s="47"/>
    </row>
    <row r="177" spans="1:17" x14ac:dyDescent="0.25">
      <c r="A177" s="48" t="s">
        <v>40</v>
      </c>
      <c r="B177" s="49" t="s">
        <v>66</v>
      </c>
      <c r="C177" s="49"/>
      <c r="D177" s="49"/>
      <c r="E177" s="49"/>
      <c r="F177" s="49"/>
      <c r="G177" s="49"/>
      <c r="H177" s="49"/>
      <c r="I177" s="49"/>
      <c r="J177" s="49"/>
      <c r="K177" s="264"/>
      <c r="L177" s="453"/>
      <c r="M177" s="454"/>
      <c r="N177" s="454"/>
      <c r="O177" s="454"/>
      <c r="P177" s="454"/>
      <c r="Q177" s="455"/>
    </row>
    <row r="178" spans="1:17" x14ac:dyDescent="0.25">
      <c r="A178" s="50" t="s">
        <v>646</v>
      </c>
      <c r="B178" s="51" t="s">
        <v>535</v>
      </c>
      <c r="C178" s="51"/>
      <c r="D178" s="51"/>
      <c r="E178" s="51"/>
      <c r="F178" s="51"/>
      <c r="G178" s="51"/>
      <c r="H178" s="51"/>
      <c r="I178" s="51"/>
      <c r="J178" s="51"/>
      <c r="K178" s="82"/>
      <c r="L178" s="441"/>
      <c r="M178" s="442"/>
      <c r="N178" s="442"/>
      <c r="O178" s="442"/>
      <c r="P178" s="442"/>
      <c r="Q178" s="443"/>
    </row>
    <row r="179" spans="1:17" x14ac:dyDescent="0.25">
      <c r="A179" s="50"/>
      <c r="B179" s="51" t="s">
        <v>415</v>
      </c>
      <c r="C179" s="51"/>
      <c r="D179" s="51"/>
      <c r="E179" s="51"/>
      <c r="F179" s="51"/>
      <c r="G179" s="51"/>
      <c r="H179" s="51"/>
      <c r="I179" s="51"/>
      <c r="J179" s="51"/>
      <c r="K179" s="82"/>
      <c r="L179" s="441"/>
      <c r="M179" s="442"/>
      <c r="N179" s="442"/>
      <c r="O179" s="442"/>
      <c r="P179" s="442"/>
      <c r="Q179" s="443"/>
    </row>
    <row r="180" spans="1:17" x14ac:dyDescent="0.25">
      <c r="A180" s="50"/>
      <c r="B180" s="51" t="s">
        <v>804</v>
      </c>
      <c r="C180" s="51"/>
      <c r="D180" s="51"/>
      <c r="E180" s="51"/>
      <c r="F180" s="51"/>
      <c r="G180" s="51"/>
      <c r="H180" s="51"/>
      <c r="I180" s="51"/>
      <c r="J180" s="51"/>
      <c r="K180" s="82"/>
      <c r="L180" s="441"/>
      <c r="M180" s="442"/>
      <c r="N180" s="442"/>
      <c r="O180" s="442"/>
      <c r="P180" s="442"/>
      <c r="Q180" s="443"/>
    </row>
    <row r="181" spans="1:17" x14ac:dyDescent="0.25">
      <c r="A181" s="50"/>
      <c r="B181" s="51" t="s">
        <v>805</v>
      </c>
      <c r="C181" s="51"/>
      <c r="D181" s="51"/>
      <c r="E181" s="51"/>
      <c r="F181" s="51"/>
      <c r="G181" s="51"/>
      <c r="H181" s="51"/>
      <c r="I181" s="51"/>
      <c r="J181" s="51"/>
      <c r="K181" s="82"/>
      <c r="L181" s="441"/>
      <c r="M181" s="442"/>
      <c r="N181" s="442"/>
      <c r="O181" s="442"/>
      <c r="P181" s="442"/>
      <c r="Q181" s="443"/>
    </row>
    <row r="182" spans="1:17" x14ac:dyDescent="0.25">
      <c r="A182" s="50" t="s">
        <v>639</v>
      </c>
      <c r="B182" s="51" t="s">
        <v>542</v>
      </c>
      <c r="C182" s="51"/>
      <c r="D182" s="51"/>
      <c r="E182" s="51"/>
      <c r="F182" s="51"/>
      <c r="G182" s="51"/>
      <c r="H182" s="51"/>
      <c r="I182" s="51"/>
      <c r="J182" s="51"/>
      <c r="K182" s="82"/>
      <c r="L182" s="441"/>
      <c r="M182" s="442"/>
      <c r="N182" s="442"/>
      <c r="O182" s="442"/>
      <c r="P182" s="442"/>
      <c r="Q182" s="443"/>
    </row>
    <row r="183" spans="1:17" x14ac:dyDescent="0.25">
      <c r="A183" s="50"/>
      <c r="B183" s="51" t="s">
        <v>344</v>
      </c>
      <c r="C183" s="51"/>
      <c r="D183" s="51"/>
      <c r="E183" s="51"/>
      <c r="F183" s="51"/>
      <c r="G183" s="51"/>
      <c r="H183" s="51"/>
      <c r="I183" s="51"/>
      <c r="J183" s="51"/>
      <c r="K183" s="82"/>
      <c r="L183" s="441"/>
      <c r="M183" s="442"/>
      <c r="N183" s="442"/>
      <c r="O183" s="442"/>
      <c r="P183" s="442"/>
      <c r="Q183" s="443"/>
    </row>
    <row r="184" spans="1:17" x14ac:dyDescent="0.25">
      <c r="A184" s="50"/>
      <c r="B184" s="51" t="s">
        <v>346</v>
      </c>
      <c r="C184" s="51"/>
      <c r="D184" s="51"/>
      <c r="E184" s="51"/>
      <c r="F184" s="51"/>
      <c r="G184" s="51"/>
      <c r="H184" s="51"/>
      <c r="I184" s="51"/>
      <c r="J184" s="51"/>
      <c r="K184" s="82"/>
      <c r="L184" s="441"/>
      <c r="M184" s="442"/>
      <c r="N184" s="442"/>
      <c r="O184" s="442"/>
      <c r="P184" s="442"/>
      <c r="Q184" s="443"/>
    </row>
    <row r="185" spans="1:17" x14ac:dyDescent="0.25">
      <c r="A185" s="50"/>
      <c r="B185" s="51" t="s">
        <v>487</v>
      </c>
      <c r="C185" s="51"/>
      <c r="D185" s="51"/>
      <c r="E185" s="51"/>
      <c r="F185" s="51"/>
      <c r="G185" s="51"/>
      <c r="H185" s="51"/>
      <c r="I185" s="51"/>
      <c r="J185" s="51"/>
      <c r="K185" s="82"/>
      <c r="L185" s="441"/>
      <c r="M185" s="442"/>
      <c r="N185" s="442"/>
      <c r="O185" s="442"/>
      <c r="P185" s="442"/>
      <c r="Q185" s="443"/>
    </row>
    <row r="186" spans="1:17" x14ac:dyDescent="0.25">
      <c r="A186" s="50"/>
      <c r="B186" s="23" t="s">
        <v>536</v>
      </c>
      <c r="C186" s="51"/>
      <c r="D186" s="51"/>
      <c r="E186" s="51"/>
      <c r="F186" s="51"/>
      <c r="G186" s="51"/>
      <c r="H186" s="51"/>
      <c r="I186" s="51"/>
      <c r="J186" s="51"/>
      <c r="K186" s="82"/>
      <c r="L186" s="441"/>
      <c r="M186" s="442"/>
      <c r="N186" s="442"/>
      <c r="O186" s="442"/>
      <c r="P186" s="442"/>
      <c r="Q186" s="443"/>
    </row>
    <row r="187" spans="1:17" x14ac:dyDescent="0.25">
      <c r="A187" s="50"/>
      <c r="B187" s="51" t="s">
        <v>149</v>
      </c>
      <c r="C187" s="51"/>
      <c r="D187" s="51"/>
      <c r="E187" s="51"/>
      <c r="F187" s="51"/>
      <c r="G187" s="51"/>
      <c r="H187" s="51"/>
      <c r="I187" s="51"/>
      <c r="J187" s="51"/>
      <c r="K187" s="82"/>
      <c r="L187" s="441"/>
      <c r="M187" s="442"/>
      <c r="N187" s="442"/>
      <c r="O187" s="442"/>
      <c r="P187" s="442"/>
      <c r="Q187" s="443"/>
    </row>
    <row r="188" spans="1:17" x14ac:dyDescent="0.25">
      <c r="A188" s="50"/>
      <c r="B188" s="51" t="s">
        <v>806</v>
      </c>
      <c r="C188" s="51"/>
      <c r="D188" s="51"/>
      <c r="E188" s="51"/>
      <c r="F188" s="51"/>
      <c r="G188" s="51"/>
      <c r="H188" s="51"/>
      <c r="I188" s="51"/>
      <c r="J188" s="51"/>
      <c r="K188" s="82"/>
      <c r="L188" s="441"/>
      <c r="M188" s="442"/>
      <c r="N188" s="442"/>
      <c r="O188" s="442"/>
      <c r="P188" s="442"/>
      <c r="Q188" s="443"/>
    </row>
    <row r="189" spans="1:17" x14ac:dyDescent="0.25">
      <c r="A189" s="50"/>
      <c r="B189" s="215" t="s">
        <v>807</v>
      </c>
      <c r="C189" s="51"/>
      <c r="D189" s="51"/>
      <c r="E189" s="51"/>
      <c r="F189" s="51"/>
      <c r="G189" s="51"/>
      <c r="H189" s="51"/>
      <c r="I189" s="51"/>
      <c r="J189" s="51"/>
      <c r="K189" s="82"/>
      <c r="L189" s="441"/>
      <c r="M189" s="442"/>
      <c r="N189" s="442"/>
      <c r="O189" s="442"/>
      <c r="P189" s="442"/>
      <c r="Q189" s="443"/>
    </row>
    <row r="190" spans="1:17" x14ac:dyDescent="0.25">
      <c r="A190" s="50"/>
      <c r="B190" s="23" t="s">
        <v>488</v>
      </c>
      <c r="C190" s="51"/>
      <c r="D190" s="51"/>
      <c r="E190" s="51"/>
      <c r="F190" s="51"/>
      <c r="G190" s="51"/>
      <c r="H190" s="51"/>
      <c r="I190" s="51"/>
      <c r="J190" s="51"/>
      <c r="K190" s="82"/>
      <c r="L190" s="441"/>
      <c r="M190" s="442"/>
      <c r="N190" s="442"/>
      <c r="O190" s="442"/>
      <c r="P190" s="442"/>
      <c r="Q190" s="443"/>
    </row>
    <row r="191" spans="1:17" x14ac:dyDescent="0.25">
      <c r="A191" s="50"/>
      <c r="B191" s="51" t="s">
        <v>800</v>
      </c>
      <c r="C191" s="51"/>
      <c r="D191" s="51"/>
      <c r="E191" s="51"/>
      <c r="F191" s="51"/>
      <c r="G191" s="51"/>
      <c r="H191" s="51"/>
      <c r="I191" s="51"/>
      <c r="J191" s="51"/>
      <c r="K191" s="82"/>
      <c r="L191" s="441"/>
      <c r="M191" s="442"/>
      <c r="N191" s="442"/>
      <c r="O191" s="442"/>
      <c r="P191" s="442"/>
      <c r="Q191" s="443"/>
    </row>
    <row r="192" spans="1:17" x14ac:dyDescent="0.25">
      <c r="A192" s="50"/>
      <c r="B192" s="51" t="s">
        <v>801</v>
      </c>
      <c r="C192" s="51"/>
      <c r="D192" s="51"/>
      <c r="E192" s="51"/>
      <c r="F192" s="51"/>
      <c r="G192" s="51"/>
      <c r="H192" s="51"/>
      <c r="I192" s="51"/>
      <c r="J192" s="51"/>
      <c r="K192" s="82"/>
      <c r="L192" s="441"/>
      <c r="M192" s="442"/>
      <c r="N192" s="442"/>
      <c r="O192" s="442"/>
      <c r="P192" s="442"/>
      <c r="Q192" s="443"/>
    </row>
    <row r="193" spans="1:17" x14ac:dyDescent="0.25">
      <c r="A193" s="50"/>
      <c r="B193" s="23" t="s">
        <v>349</v>
      </c>
      <c r="C193" s="51"/>
      <c r="D193" s="51"/>
      <c r="E193" s="51"/>
      <c r="F193" s="51"/>
      <c r="G193" s="51"/>
      <c r="H193" s="51"/>
      <c r="I193" s="51"/>
      <c r="J193" s="51"/>
      <c r="K193" s="82"/>
      <c r="L193" s="441"/>
      <c r="M193" s="442"/>
      <c r="N193" s="442"/>
      <c r="O193" s="442"/>
      <c r="P193" s="442"/>
      <c r="Q193" s="443"/>
    </row>
    <row r="194" spans="1:17" x14ac:dyDescent="0.25">
      <c r="A194" s="50"/>
      <c r="B194" s="51" t="s">
        <v>489</v>
      </c>
      <c r="C194" s="51"/>
      <c r="D194" s="51"/>
      <c r="E194" s="51"/>
      <c r="F194" s="51"/>
      <c r="G194" s="51"/>
      <c r="H194" s="51"/>
      <c r="I194" s="51"/>
      <c r="J194" s="51"/>
      <c r="K194" s="82"/>
      <c r="L194" s="441"/>
      <c r="M194" s="442"/>
      <c r="N194" s="442"/>
      <c r="O194" s="442"/>
      <c r="P194" s="442"/>
      <c r="Q194" s="443"/>
    </row>
    <row r="195" spans="1:17" x14ac:dyDescent="0.25">
      <c r="A195" s="50"/>
      <c r="B195" s="23" t="s">
        <v>808</v>
      </c>
      <c r="C195" s="51"/>
      <c r="D195" s="51"/>
      <c r="E195" s="51"/>
      <c r="F195" s="51"/>
      <c r="G195" s="51"/>
      <c r="H195" s="51"/>
      <c r="I195" s="51"/>
      <c r="J195" s="51"/>
      <c r="K195" s="82"/>
      <c r="L195" s="441"/>
      <c r="M195" s="442"/>
      <c r="N195" s="442"/>
      <c r="O195" s="442"/>
      <c r="P195" s="442"/>
      <c r="Q195" s="443"/>
    </row>
    <row r="196" spans="1:17" x14ac:dyDescent="0.25">
      <c r="A196" s="50"/>
      <c r="B196" s="51" t="s">
        <v>350</v>
      </c>
      <c r="C196" s="51"/>
      <c r="D196" s="51"/>
      <c r="E196" s="51"/>
      <c r="F196" s="51"/>
      <c r="G196" s="51"/>
      <c r="H196" s="51"/>
      <c r="I196" s="51"/>
      <c r="J196" s="51"/>
      <c r="K196" s="82"/>
      <c r="L196" s="441"/>
      <c r="M196" s="442"/>
      <c r="N196" s="442"/>
      <c r="O196" s="442"/>
      <c r="P196" s="442"/>
      <c r="Q196" s="443"/>
    </row>
    <row r="197" spans="1:17" x14ac:dyDescent="0.25">
      <c r="A197" s="50"/>
      <c r="B197" s="51" t="s">
        <v>351</v>
      </c>
      <c r="C197" s="51"/>
      <c r="D197" s="51"/>
      <c r="E197" s="51"/>
      <c r="F197" s="51"/>
      <c r="G197" s="51"/>
      <c r="H197" s="51"/>
      <c r="I197" s="51"/>
      <c r="J197" s="51"/>
      <c r="K197" s="82"/>
      <c r="L197" s="441"/>
      <c r="M197" s="442"/>
      <c r="N197" s="442"/>
      <c r="O197" s="442"/>
      <c r="P197" s="442"/>
      <c r="Q197" s="443"/>
    </row>
    <row r="198" spans="1:17" x14ac:dyDescent="0.25">
      <c r="A198" s="50"/>
      <c r="B198" s="51" t="s">
        <v>352</v>
      </c>
      <c r="C198" s="51"/>
      <c r="D198" s="51"/>
      <c r="E198" s="51"/>
      <c r="F198" s="51"/>
      <c r="G198" s="51"/>
      <c r="H198" s="51"/>
      <c r="I198" s="51"/>
      <c r="J198" s="51"/>
      <c r="K198" s="82"/>
      <c r="L198" s="441"/>
      <c r="M198" s="442"/>
      <c r="N198" s="442"/>
      <c r="O198" s="442"/>
      <c r="P198" s="442"/>
      <c r="Q198" s="443"/>
    </row>
    <row r="199" spans="1:17" x14ac:dyDescent="0.25">
      <c r="A199" s="50" t="s">
        <v>41</v>
      </c>
      <c r="B199" s="215" t="s">
        <v>539</v>
      </c>
      <c r="C199" s="51"/>
      <c r="D199" s="51"/>
      <c r="E199" s="51"/>
      <c r="F199" s="51"/>
      <c r="G199" s="51"/>
      <c r="H199" s="51"/>
      <c r="I199" s="51"/>
      <c r="J199" s="51"/>
      <c r="K199" s="82"/>
      <c r="L199" s="441"/>
      <c r="M199" s="442"/>
      <c r="N199" s="442"/>
      <c r="O199" s="442"/>
      <c r="P199" s="442"/>
      <c r="Q199" s="443"/>
    </row>
    <row r="200" spans="1:17" x14ac:dyDescent="0.25">
      <c r="A200" s="50"/>
      <c r="B200" s="51" t="s">
        <v>810</v>
      </c>
      <c r="C200" s="51"/>
      <c r="D200" s="51"/>
      <c r="E200" s="51"/>
      <c r="F200" s="51"/>
      <c r="G200" s="51"/>
      <c r="H200" s="51"/>
      <c r="I200" s="51"/>
      <c r="J200" s="51"/>
      <c r="K200" s="82"/>
      <c r="L200" s="441"/>
      <c r="M200" s="442"/>
      <c r="N200" s="442"/>
      <c r="O200" s="442"/>
      <c r="P200" s="442"/>
      <c r="Q200" s="443"/>
    </row>
    <row r="201" spans="1:17" x14ac:dyDescent="0.25">
      <c r="A201" s="50"/>
      <c r="B201" s="51" t="s">
        <v>811</v>
      </c>
      <c r="C201" s="51"/>
      <c r="D201" s="51"/>
      <c r="E201" s="51"/>
      <c r="F201" s="51"/>
      <c r="G201" s="51"/>
      <c r="H201" s="51"/>
      <c r="I201" s="51"/>
      <c r="J201" s="51"/>
      <c r="K201" s="82"/>
      <c r="L201" s="441"/>
      <c r="M201" s="442"/>
      <c r="N201" s="442"/>
      <c r="O201" s="442"/>
      <c r="P201" s="442"/>
      <c r="Q201" s="443"/>
    </row>
    <row r="202" spans="1:17" x14ac:dyDescent="0.25">
      <c r="A202" s="50"/>
      <c r="B202" s="215" t="s">
        <v>809</v>
      </c>
      <c r="C202" s="51"/>
      <c r="D202" s="51"/>
      <c r="E202" s="51"/>
      <c r="F202" s="51"/>
      <c r="G202" s="51"/>
      <c r="H202" s="51"/>
      <c r="I202" s="51"/>
      <c r="J202" s="51"/>
      <c r="K202" s="82"/>
      <c r="L202" s="441"/>
      <c r="M202" s="442"/>
      <c r="N202" s="442"/>
      <c r="O202" s="442"/>
      <c r="P202" s="442"/>
      <c r="Q202" s="443"/>
    </row>
    <row r="203" spans="1:17" x14ac:dyDescent="0.25">
      <c r="A203" s="50"/>
      <c r="B203" s="51" t="s">
        <v>812</v>
      </c>
      <c r="C203" s="51"/>
      <c r="D203" s="51"/>
      <c r="E203" s="51"/>
      <c r="F203" s="51"/>
      <c r="G203" s="51"/>
      <c r="H203" s="51"/>
      <c r="I203" s="51"/>
      <c r="J203" s="51"/>
      <c r="K203" s="82"/>
      <c r="L203" s="441"/>
      <c r="M203" s="442"/>
      <c r="N203" s="442"/>
      <c r="O203" s="442"/>
      <c r="P203" s="442"/>
      <c r="Q203" s="443"/>
    </row>
    <row r="204" spans="1:17" x14ac:dyDescent="0.25">
      <c r="A204" s="50"/>
      <c r="B204" s="51" t="s">
        <v>538</v>
      </c>
      <c r="C204" s="51"/>
      <c r="D204" s="51"/>
      <c r="E204" s="51"/>
      <c r="F204" s="51"/>
      <c r="G204" s="51"/>
      <c r="H204" s="51"/>
      <c r="I204" s="51"/>
      <c r="J204" s="51"/>
      <c r="K204" s="82"/>
      <c r="L204" s="441"/>
      <c r="M204" s="442"/>
      <c r="N204" s="442"/>
      <c r="O204" s="442"/>
      <c r="P204" s="442"/>
      <c r="Q204" s="443"/>
    </row>
    <row r="205" spans="1:17" x14ac:dyDescent="0.25">
      <c r="A205" s="50"/>
      <c r="B205" s="51" t="s">
        <v>813</v>
      </c>
      <c r="C205" s="51"/>
      <c r="D205" s="51"/>
      <c r="E205" s="51"/>
      <c r="F205" s="51"/>
      <c r="G205" s="51"/>
      <c r="H205" s="51"/>
      <c r="I205" s="51"/>
      <c r="J205" s="51"/>
      <c r="K205" s="82"/>
      <c r="L205" s="441"/>
      <c r="M205" s="442"/>
      <c r="N205" s="442"/>
      <c r="O205" s="442"/>
      <c r="P205" s="442"/>
      <c r="Q205" s="443"/>
    </row>
    <row r="206" spans="1:17" x14ac:dyDescent="0.25">
      <c r="A206" s="50"/>
      <c r="B206" s="51" t="s">
        <v>540</v>
      </c>
      <c r="C206" s="51"/>
      <c r="D206" s="51"/>
      <c r="E206" s="51"/>
      <c r="F206" s="51"/>
      <c r="G206" s="51"/>
      <c r="H206" s="51"/>
      <c r="I206" s="51"/>
      <c r="J206" s="51"/>
      <c r="K206" s="82"/>
      <c r="L206" s="441"/>
      <c r="M206" s="442"/>
      <c r="N206" s="442"/>
      <c r="O206" s="442"/>
      <c r="P206" s="442"/>
      <c r="Q206" s="443"/>
    </row>
    <row r="207" spans="1:17" x14ac:dyDescent="0.25">
      <c r="A207" s="50"/>
      <c r="B207" s="51"/>
      <c r="C207" s="51"/>
      <c r="D207" s="51"/>
      <c r="E207" s="51"/>
      <c r="F207" s="51"/>
      <c r="G207" s="51"/>
      <c r="H207" s="51"/>
      <c r="I207" s="51"/>
      <c r="J207" s="51"/>
      <c r="K207" s="82"/>
      <c r="L207" s="441"/>
      <c r="M207" s="442"/>
      <c r="N207" s="442"/>
      <c r="O207" s="442"/>
      <c r="P207" s="442"/>
      <c r="Q207" s="443"/>
    </row>
    <row r="208" spans="1:17" x14ac:dyDescent="0.25">
      <c r="A208" s="50"/>
      <c r="B208" s="61"/>
      <c r="C208" s="51"/>
      <c r="D208" s="51"/>
      <c r="E208" s="51"/>
      <c r="F208" s="51"/>
      <c r="G208" s="51"/>
      <c r="H208" s="51"/>
      <c r="I208" s="51"/>
      <c r="J208" s="51"/>
      <c r="K208" s="82"/>
      <c r="L208" s="441"/>
      <c r="M208" s="442"/>
      <c r="N208" s="442"/>
      <c r="O208" s="442"/>
      <c r="P208" s="442"/>
      <c r="Q208" s="443"/>
    </row>
    <row r="209" spans="1:17" x14ac:dyDescent="0.25">
      <c r="A209" s="50"/>
      <c r="B209" s="51"/>
      <c r="C209" s="51"/>
      <c r="D209" s="51"/>
      <c r="E209" s="51"/>
      <c r="F209" s="51"/>
      <c r="G209" s="51"/>
      <c r="H209" s="51"/>
      <c r="I209" s="51"/>
      <c r="J209" s="51"/>
      <c r="K209" s="82"/>
      <c r="L209" s="441"/>
      <c r="M209" s="442"/>
      <c r="N209" s="442"/>
      <c r="O209" s="442"/>
      <c r="P209" s="442"/>
      <c r="Q209" s="443"/>
    </row>
    <row r="210" spans="1:17" x14ac:dyDescent="0.25">
      <c r="A210" s="50"/>
      <c r="B210" s="51"/>
      <c r="C210" s="51"/>
      <c r="D210" s="51"/>
      <c r="E210" s="51"/>
      <c r="F210" s="51"/>
      <c r="G210" s="51"/>
      <c r="H210" s="51"/>
      <c r="I210" s="51"/>
      <c r="J210" s="51"/>
      <c r="K210" s="82"/>
      <c r="L210" s="441"/>
      <c r="M210" s="442"/>
      <c r="N210" s="442"/>
      <c r="O210" s="442"/>
      <c r="P210" s="442"/>
      <c r="Q210" s="443"/>
    </row>
    <row r="211" spans="1:17" x14ac:dyDescent="0.25">
      <c r="A211" s="50"/>
      <c r="B211" s="51"/>
      <c r="C211" s="51"/>
      <c r="D211" s="51"/>
      <c r="E211" s="51"/>
      <c r="F211" s="51"/>
      <c r="G211" s="51"/>
      <c r="H211" s="51"/>
      <c r="I211" s="51"/>
      <c r="J211" s="51"/>
      <c r="K211" s="82"/>
      <c r="L211" s="441"/>
      <c r="M211" s="442"/>
      <c r="N211" s="442"/>
      <c r="O211" s="442"/>
      <c r="P211" s="442"/>
      <c r="Q211" s="443"/>
    </row>
    <row r="212" spans="1:17" x14ac:dyDescent="0.25">
      <c r="A212" s="50"/>
      <c r="B212" s="51"/>
      <c r="C212" s="51"/>
      <c r="D212" s="51"/>
      <c r="E212" s="51"/>
      <c r="F212" s="51"/>
      <c r="G212" s="51"/>
      <c r="H212" s="51"/>
      <c r="I212" s="51"/>
      <c r="J212" s="51"/>
      <c r="K212" s="82"/>
      <c r="L212" s="441"/>
      <c r="M212" s="442"/>
      <c r="N212" s="442"/>
      <c r="O212" s="442"/>
      <c r="P212" s="442"/>
      <c r="Q212" s="443"/>
    </row>
    <row r="213" spans="1:17" x14ac:dyDescent="0.25">
      <c r="A213" s="50"/>
      <c r="B213" s="51"/>
      <c r="C213" s="51"/>
      <c r="D213" s="51"/>
      <c r="E213" s="51"/>
      <c r="F213" s="51"/>
      <c r="G213" s="51"/>
      <c r="H213" s="51"/>
      <c r="I213" s="51"/>
      <c r="J213" s="51"/>
      <c r="K213" s="82"/>
      <c r="L213" s="441"/>
      <c r="M213" s="442"/>
      <c r="N213" s="442"/>
      <c r="O213" s="442"/>
      <c r="P213" s="442"/>
      <c r="Q213" s="443"/>
    </row>
    <row r="214" spans="1:17" x14ac:dyDescent="0.25">
      <c r="A214" s="50"/>
      <c r="B214" s="51"/>
      <c r="C214" s="51"/>
      <c r="D214" s="51"/>
      <c r="E214" s="51"/>
      <c r="F214" s="51"/>
      <c r="G214" s="51"/>
      <c r="H214" s="51"/>
      <c r="I214" s="51"/>
      <c r="J214" s="51"/>
      <c r="K214" s="82"/>
      <c r="L214" s="441"/>
      <c r="M214" s="442"/>
      <c r="N214" s="442"/>
      <c r="O214" s="442"/>
      <c r="P214" s="442"/>
      <c r="Q214" s="443"/>
    </row>
    <row r="215" spans="1:17" x14ac:dyDescent="0.25">
      <c r="A215" s="50"/>
      <c r="B215" s="51"/>
      <c r="C215" s="51"/>
      <c r="D215" s="51"/>
      <c r="E215" s="51"/>
      <c r="F215" s="51"/>
      <c r="G215" s="51"/>
      <c r="H215" s="51"/>
      <c r="I215" s="51"/>
      <c r="J215" s="51"/>
      <c r="K215" s="82"/>
      <c r="L215" s="441"/>
      <c r="M215" s="442"/>
      <c r="N215" s="442"/>
      <c r="O215" s="442"/>
      <c r="P215" s="442"/>
      <c r="Q215" s="443"/>
    </row>
    <row r="216" spans="1:17" x14ac:dyDescent="0.25">
      <c r="A216" s="50"/>
      <c r="B216" s="51"/>
      <c r="C216" s="51"/>
      <c r="D216" s="51"/>
      <c r="E216" s="51"/>
      <c r="F216" s="51"/>
      <c r="G216" s="51"/>
      <c r="H216" s="51"/>
      <c r="I216" s="51"/>
      <c r="J216" s="51"/>
      <c r="K216" s="82"/>
      <c r="L216" s="441"/>
      <c r="M216" s="442"/>
      <c r="N216" s="442"/>
      <c r="O216" s="442"/>
      <c r="P216" s="442"/>
      <c r="Q216" s="443"/>
    </row>
    <row r="217" spans="1:17" x14ac:dyDescent="0.25">
      <c r="A217" s="50"/>
      <c r="B217" s="51"/>
      <c r="C217" s="51"/>
      <c r="D217" s="51"/>
      <c r="E217" s="51"/>
      <c r="F217" s="51"/>
      <c r="G217" s="51"/>
      <c r="H217" s="51"/>
      <c r="I217" s="51"/>
      <c r="J217" s="51"/>
      <c r="K217" s="82"/>
      <c r="L217" s="441"/>
      <c r="M217" s="442"/>
      <c r="N217" s="442"/>
      <c r="O217" s="442"/>
      <c r="P217" s="442"/>
      <c r="Q217" s="443"/>
    </row>
    <row r="218" spans="1:17" x14ac:dyDescent="0.25">
      <c r="A218" s="50"/>
      <c r="B218" s="51"/>
      <c r="C218" s="51"/>
      <c r="D218" s="51"/>
      <c r="E218" s="51"/>
      <c r="F218" s="51"/>
      <c r="G218" s="51"/>
      <c r="H218" s="51"/>
      <c r="I218" s="51"/>
      <c r="J218" s="51"/>
      <c r="K218" s="82"/>
      <c r="L218" s="441"/>
      <c r="M218" s="442"/>
      <c r="N218" s="442"/>
      <c r="O218" s="442"/>
      <c r="P218" s="442"/>
      <c r="Q218" s="443"/>
    </row>
    <row r="219" spans="1:17" x14ac:dyDescent="0.25">
      <c r="A219" s="50"/>
      <c r="B219" s="51"/>
      <c r="C219" s="51"/>
      <c r="D219" s="51"/>
      <c r="E219" s="51"/>
      <c r="F219" s="51"/>
      <c r="G219" s="51"/>
      <c r="H219" s="51"/>
      <c r="I219" s="51"/>
      <c r="J219" s="51"/>
      <c r="K219" s="82"/>
      <c r="L219" s="441"/>
      <c r="M219" s="442"/>
      <c r="N219" s="442"/>
      <c r="O219" s="442"/>
      <c r="P219" s="442"/>
      <c r="Q219" s="443"/>
    </row>
    <row r="220" spans="1:17" x14ac:dyDescent="0.25">
      <c r="A220" s="50"/>
      <c r="B220" s="51" t="s">
        <v>627</v>
      </c>
      <c r="C220" s="51"/>
      <c r="D220" s="51"/>
      <c r="E220" s="51"/>
      <c r="F220" s="51"/>
      <c r="G220" s="51"/>
      <c r="H220" s="51"/>
      <c r="I220" s="51"/>
      <c r="J220" s="51"/>
      <c r="K220" s="82"/>
      <c r="L220" s="441"/>
      <c r="M220" s="442"/>
      <c r="N220" s="442"/>
      <c r="O220" s="442"/>
      <c r="P220" s="442"/>
      <c r="Q220" s="443"/>
    </row>
    <row r="221" spans="1:17" x14ac:dyDescent="0.25">
      <c r="A221" s="73"/>
      <c r="B221" s="72"/>
      <c r="C221" s="72"/>
      <c r="D221" s="72"/>
      <c r="E221" s="72"/>
      <c r="F221" s="72"/>
      <c r="G221" s="72"/>
      <c r="H221" s="72"/>
      <c r="I221" s="72"/>
      <c r="J221" s="72"/>
      <c r="K221" s="83"/>
      <c r="L221" s="444"/>
      <c r="M221" s="445"/>
      <c r="N221" s="445"/>
      <c r="O221" s="445"/>
      <c r="P221" s="445"/>
      <c r="Q221" s="446"/>
    </row>
    <row r="222" spans="1:17" x14ac:dyDescent="0.25">
      <c r="A222" s="240" t="s">
        <v>659</v>
      </c>
      <c r="B222" s="216" t="s">
        <v>660</v>
      </c>
      <c r="C222" s="49"/>
      <c r="D222" s="49"/>
      <c r="E222" s="49"/>
      <c r="F222" s="49"/>
      <c r="G222" s="49"/>
      <c r="H222" s="49"/>
      <c r="I222" s="49"/>
      <c r="J222" s="49"/>
      <c r="K222" s="373" t="s">
        <v>684</v>
      </c>
      <c r="L222" s="200"/>
      <c r="M222" s="382"/>
      <c r="N222" s="382"/>
      <c r="O222" s="382"/>
      <c r="P222" s="382"/>
      <c r="Q222" s="383"/>
    </row>
    <row r="223" spans="1:17" x14ac:dyDescent="0.25">
      <c r="A223" s="242"/>
      <c r="B223" s="168" t="s">
        <v>661</v>
      </c>
      <c r="C223" s="72"/>
      <c r="D223" s="72"/>
      <c r="E223" s="72"/>
      <c r="F223" s="72"/>
      <c r="G223" s="72"/>
      <c r="H223" s="72"/>
      <c r="I223" s="72"/>
      <c r="J223" s="72"/>
      <c r="K223" s="374" t="s">
        <v>662</v>
      </c>
      <c r="L223" s="444"/>
      <c r="M223" s="445"/>
      <c r="N223" s="445"/>
      <c r="O223" s="445"/>
      <c r="P223" s="445"/>
      <c r="Q223" s="446"/>
    </row>
    <row r="224" spans="1:17" x14ac:dyDescent="0.25">
      <c r="A224" s="51"/>
      <c r="I224" s="44"/>
      <c r="J224" s="44"/>
      <c r="K224" s="44"/>
      <c r="L224" s="44"/>
      <c r="M224" s="44"/>
      <c r="N224" s="44"/>
      <c r="O224" s="44"/>
      <c r="P224" s="44"/>
      <c r="Q224" s="44"/>
    </row>
    <row r="225" spans="1:27" x14ac:dyDescent="0.25">
      <c r="A225" s="53" t="s">
        <v>366</v>
      </c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4"/>
      <c r="M225" s="54"/>
      <c r="N225" s="54"/>
      <c r="O225" s="54"/>
      <c r="P225" s="54"/>
      <c r="Q225" s="54"/>
    </row>
    <row r="226" spans="1:27" x14ac:dyDescent="0.25">
      <c r="A226" s="121"/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</row>
    <row r="227" spans="1:27" x14ac:dyDescent="0.25">
      <c r="A227" s="122" t="str">
        <f>IF(Oplysningsside!$B$15="","",Oplysningsside!$B$15)</f>
        <v>Bi-plan</v>
      </c>
      <c r="B227" s="258" t="s">
        <v>445</v>
      </c>
      <c r="C227" s="216"/>
      <c r="D227" s="216"/>
      <c r="E227" s="216"/>
      <c r="F227" s="216"/>
      <c r="G227" s="216"/>
      <c r="H227" s="216"/>
      <c r="I227" s="216"/>
      <c r="J227" s="216"/>
      <c r="K227" s="216"/>
      <c r="L227" s="217"/>
      <c r="M227" s="174" t="s">
        <v>126</v>
      </c>
      <c r="N227" s="55" t="s">
        <v>126</v>
      </c>
      <c r="P227" s="122" t="str">
        <f>IF(Oplysningsside!$B$15="","",Oplysningsside!$B$15)</f>
        <v>Bi-plan</v>
      </c>
      <c r="Q227" s="258" t="s">
        <v>445</v>
      </c>
      <c r="R227" s="216"/>
      <c r="S227" s="216"/>
      <c r="T227" s="216"/>
      <c r="U227" s="216"/>
      <c r="V227" s="216"/>
      <c r="W227" s="216"/>
      <c r="X227" s="216"/>
      <c r="Y227" s="216"/>
      <c r="Z227" s="216"/>
      <c r="AA227" s="217"/>
    </row>
    <row r="228" spans="1:27" x14ac:dyDescent="0.25">
      <c r="A228" s="106"/>
      <c r="B228" s="215" t="s">
        <v>282</v>
      </c>
      <c r="C228" s="215"/>
      <c r="D228" s="215"/>
      <c r="E228" s="215"/>
      <c r="F228" s="215"/>
      <c r="G228" s="215"/>
      <c r="H228" s="215"/>
      <c r="I228" s="51"/>
      <c r="J228" s="51"/>
      <c r="K228" s="51"/>
      <c r="L228" s="226"/>
      <c r="M228" s="56" t="s">
        <v>97</v>
      </c>
      <c r="N228" s="56" t="s">
        <v>442</v>
      </c>
      <c r="P228" s="106"/>
      <c r="Q228" s="215" t="s">
        <v>282</v>
      </c>
      <c r="R228" s="215"/>
      <c r="S228" s="215"/>
      <c r="T228" s="215"/>
      <c r="U228" s="215"/>
      <c r="V228" s="215"/>
      <c r="W228" s="215"/>
      <c r="X228" s="51"/>
      <c r="Y228" s="51"/>
      <c r="Z228" s="51"/>
      <c r="AA228" s="226"/>
    </row>
    <row r="229" spans="1:27" x14ac:dyDescent="0.25">
      <c r="A229" s="103"/>
      <c r="B229" s="215" t="str">
        <f>IF($A$227="","Filtrering [ mm Cu ]",IF($A$227="Mini C bue","Filtrering [mm Al]","Filtrering [mm Cu]"))</f>
        <v>Filtrering [mm Cu]</v>
      </c>
      <c r="C229" s="215"/>
      <c r="D229" s="215"/>
      <c r="E229" s="215"/>
      <c r="F229" s="215"/>
      <c r="G229" s="215"/>
      <c r="H229" s="215"/>
      <c r="I229" s="51"/>
      <c r="J229" s="249"/>
      <c r="K229" s="51"/>
      <c r="L229" s="226"/>
      <c r="M229" s="56" t="s">
        <v>98</v>
      </c>
      <c r="N229" s="56" t="s">
        <v>443</v>
      </c>
      <c r="P229" s="103"/>
      <c r="Q229" s="215" t="str">
        <f>IF($A$227="","Filtrering [ mm Cu ]",IF($A$227="Mini C bue","Filtrering [mm Al]","Filtrering [mm Cu]"))</f>
        <v>Filtrering [mm Cu]</v>
      </c>
      <c r="R229" s="215"/>
      <c r="S229" s="215"/>
      <c r="T229" s="215"/>
      <c r="U229" s="215"/>
      <c r="V229" s="215"/>
      <c r="W229" s="215"/>
      <c r="X229" s="51"/>
      <c r="Y229" s="249"/>
      <c r="Z229" s="51"/>
      <c r="AA229" s="226"/>
    </row>
    <row r="230" spans="1:27" x14ac:dyDescent="0.25">
      <c r="A230" s="106"/>
      <c r="B230" s="215" t="s">
        <v>365</v>
      </c>
      <c r="C230" s="215"/>
      <c r="D230" s="215"/>
      <c r="E230" s="215"/>
      <c r="F230" s="215"/>
      <c r="G230" s="215"/>
      <c r="H230" s="215"/>
      <c r="I230" s="51"/>
      <c r="J230" s="249"/>
      <c r="K230" s="51"/>
      <c r="L230" s="226"/>
      <c r="M230" s="56" t="s">
        <v>99</v>
      </c>
      <c r="N230" s="56" t="s">
        <v>99</v>
      </c>
      <c r="P230" s="106"/>
      <c r="Q230" s="215" t="s">
        <v>365</v>
      </c>
      <c r="R230" s="215"/>
      <c r="S230" s="215"/>
      <c r="T230" s="215"/>
      <c r="U230" s="215"/>
      <c r="V230" s="215"/>
      <c r="W230" s="215"/>
      <c r="X230" s="51"/>
      <c r="Y230" s="249"/>
      <c r="Z230" s="51"/>
      <c r="AA230" s="226"/>
    </row>
    <row r="231" spans="1:27" x14ac:dyDescent="0.25">
      <c r="A231" s="221"/>
      <c r="B231" s="215"/>
      <c r="C231" s="215"/>
      <c r="D231" s="215"/>
      <c r="E231" s="215"/>
      <c r="F231" s="215"/>
      <c r="G231" s="215"/>
      <c r="H231" s="215"/>
      <c r="I231" s="51"/>
      <c r="J231" s="249"/>
      <c r="K231" s="51"/>
      <c r="L231" s="226"/>
      <c r="M231" s="57"/>
      <c r="N231" s="57"/>
      <c r="P231" s="221"/>
      <c r="Q231" s="215"/>
      <c r="R231" s="215"/>
      <c r="S231" s="215"/>
      <c r="T231" s="215"/>
      <c r="U231" s="215"/>
      <c r="V231" s="215"/>
      <c r="W231" s="215"/>
      <c r="X231" s="51"/>
      <c r="Y231" s="249"/>
      <c r="Z231" s="51"/>
      <c r="AA231" s="226"/>
    </row>
    <row r="232" spans="1:27" x14ac:dyDescent="0.25">
      <c r="A232" s="197"/>
      <c r="B232" s="260" t="s">
        <v>457</v>
      </c>
      <c r="C232" s="168"/>
      <c r="D232" s="168"/>
      <c r="E232" s="168"/>
      <c r="F232" s="168"/>
      <c r="G232" s="168"/>
      <c r="H232" s="168"/>
      <c r="I232" s="168"/>
      <c r="J232" s="168"/>
      <c r="K232" s="168"/>
      <c r="L232" s="239" t="s">
        <v>428</v>
      </c>
      <c r="M232" s="71" t="s">
        <v>678</v>
      </c>
      <c r="N232" s="282"/>
      <c r="P232" s="197"/>
      <c r="Q232" s="23" t="s">
        <v>458</v>
      </c>
      <c r="R232" s="168"/>
      <c r="S232" s="168"/>
      <c r="T232" s="168"/>
      <c r="U232" s="168"/>
      <c r="V232" s="168"/>
      <c r="W232" s="168"/>
      <c r="X232" s="168"/>
      <c r="Y232" s="168"/>
      <c r="Z232" s="168"/>
      <c r="AA232" s="239"/>
    </row>
    <row r="233" spans="1:27" x14ac:dyDescent="0.25">
      <c r="A233" s="55" t="s">
        <v>42</v>
      </c>
      <c r="B233" s="55" t="s">
        <v>105</v>
      </c>
      <c r="C233" s="181" t="s">
        <v>275</v>
      </c>
      <c r="D233" s="183"/>
      <c r="E233" s="55" t="s">
        <v>46</v>
      </c>
      <c r="F233" s="55" t="s">
        <v>53</v>
      </c>
      <c r="G233" s="55" t="s">
        <v>44</v>
      </c>
      <c r="H233" s="55" t="s">
        <v>45</v>
      </c>
      <c r="I233" s="55" t="s">
        <v>72</v>
      </c>
      <c r="J233" s="55" t="s">
        <v>76</v>
      </c>
      <c r="K233" s="55" t="s">
        <v>61</v>
      </c>
      <c r="L233" s="55" t="s">
        <v>278</v>
      </c>
      <c r="M233" s="55" t="str">
        <f>IF(OR($A$227="",$I$236=""),"",IF($A$227="Mini C bue","Antal", ""))</f>
        <v/>
      </c>
      <c r="N233" s="55" t="str">
        <f>IF(OR($A$227="",$I$236=""),"",IF($A$227="Mini C bue","Afv.", ""))</f>
        <v/>
      </c>
      <c r="P233" s="55" t="s">
        <v>42</v>
      </c>
      <c r="Q233" s="55" t="s">
        <v>105</v>
      </c>
      <c r="R233" s="181" t="s">
        <v>275</v>
      </c>
      <c r="S233" s="183"/>
      <c r="T233" s="55" t="s">
        <v>46</v>
      </c>
      <c r="U233" s="55" t="s">
        <v>53</v>
      </c>
      <c r="V233" s="55" t="s">
        <v>44</v>
      </c>
      <c r="W233" s="55" t="s">
        <v>45</v>
      </c>
      <c r="X233" s="55" t="s">
        <v>72</v>
      </c>
      <c r="Y233" s="55" t="s">
        <v>76</v>
      </c>
      <c r="Z233" s="55" t="s">
        <v>61</v>
      </c>
      <c r="AA233" s="55" t="s">
        <v>278</v>
      </c>
    </row>
    <row r="234" spans="1:27" x14ac:dyDescent="0.25">
      <c r="A234" s="56"/>
      <c r="B234" s="56"/>
      <c r="C234" s="175"/>
      <c r="D234" s="176"/>
      <c r="E234" s="56" t="s">
        <v>48</v>
      </c>
      <c r="F234" s="56" t="s">
        <v>54</v>
      </c>
      <c r="G234" s="56"/>
      <c r="H234" s="56"/>
      <c r="I234" s="56" t="s">
        <v>75</v>
      </c>
      <c r="J234" s="56" t="s">
        <v>52</v>
      </c>
      <c r="K234" s="56"/>
      <c r="L234" s="56" t="s">
        <v>279</v>
      </c>
      <c r="M234" s="56" t="str">
        <f>IF(OR($A$227="",$I$236=""),"",IF($A$227="Mini C bue","lavkontrast", ""))</f>
        <v/>
      </c>
      <c r="N234" s="56" t="str">
        <f>IF(OR($A$227="",$I$236=""),"",IF($A$227="Mini C bue","antal", ""))</f>
        <v/>
      </c>
      <c r="P234" s="56"/>
      <c r="Q234" s="56"/>
      <c r="R234" s="175"/>
      <c r="S234" s="176"/>
      <c r="T234" s="56" t="s">
        <v>48</v>
      </c>
      <c r="U234" s="56" t="s">
        <v>54</v>
      </c>
      <c r="V234" s="56"/>
      <c r="W234" s="56"/>
      <c r="X234" s="56" t="s">
        <v>75</v>
      </c>
      <c r="Y234" s="56" t="s">
        <v>52</v>
      </c>
      <c r="Z234" s="56"/>
      <c r="AA234" s="56" t="s">
        <v>279</v>
      </c>
    </row>
    <row r="235" spans="1:27" x14ac:dyDescent="0.25">
      <c r="A235" s="57"/>
      <c r="B235" s="57"/>
      <c r="C235" s="177"/>
      <c r="D235" s="178"/>
      <c r="E235" s="57"/>
      <c r="F235" s="57"/>
      <c r="G235" s="57"/>
      <c r="H235" s="57"/>
      <c r="I235" s="57" t="s">
        <v>73</v>
      </c>
      <c r="J235" s="57"/>
      <c r="K235" s="165" t="s">
        <v>153</v>
      </c>
      <c r="L235" s="57" t="s">
        <v>103</v>
      </c>
      <c r="M235" s="57" t="str">
        <f>IF(OR($A$227="",$I$236=""),"",IF($A$227="Mini C bue","skiver", ""))</f>
        <v/>
      </c>
      <c r="N235" s="57" t="str">
        <f>IF(OR($A$227="",$I$236=""),"",IF($A$227="Mini C bue","skiver", ""))</f>
        <v/>
      </c>
      <c r="P235" s="57"/>
      <c r="Q235" s="57"/>
      <c r="R235" s="177"/>
      <c r="S235" s="178"/>
      <c r="T235" s="57"/>
      <c r="U235" s="57"/>
      <c r="V235" s="57"/>
      <c r="W235" s="57"/>
      <c r="X235" s="57" t="s">
        <v>73</v>
      </c>
      <c r="Y235" s="57"/>
      <c r="Z235" s="165" t="s">
        <v>153</v>
      </c>
      <c r="AA235" s="57" t="s">
        <v>103</v>
      </c>
    </row>
    <row r="236" spans="1:27" x14ac:dyDescent="0.25">
      <c r="A236" s="58">
        <v>1</v>
      </c>
      <c r="B236" s="84"/>
      <c r="C236" s="417"/>
      <c r="D236" s="418"/>
      <c r="E236" s="84"/>
      <c r="F236" s="84"/>
      <c r="G236" s="84"/>
      <c r="H236" s="84"/>
      <c r="I236" s="109"/>
      <c r="J236" s="167" t="str">
        <f>IF(OR($A$227="",$A$230="",I236="",I236&gt;18),"",HLOOKUP($A$230,Data!$D$119:$H$137,I236+1,FALSE))</f>
        <v/>
      </c>
      <c r="K236" s="97" t="str">
        <f>IF(OR(J236="",I236=""),"",IF(J236&gt;4,"IKKE OK","OK"))</f>
        <v/>
      </c>
      <c r="L236" s="84"/>
      <c r="M236" s="109">
        <v>12</v>
      </c>
      <c r="N236" s="281" t="str">
        <f>IF(OR($A$227="",$A$230="",I236="",I236&gt;18,M236=""),"",IF($A$227="Mini C bue",I236-M236,""))</f>
        <v/>
      </c>
      <c r="P236" s="58">
        <v>1</v>
      </c>
      <c r="Q236" s="84"/>
      <c r="R236" s="417"/>
      <c r="S236" s="418"/>
      <c r="T236" s="84"/>
      <c r="U236" s="84"/>
      <c r="V236" s="84"/>
      <c r="W236" s="84"/>
      <c r="X236" s="109"/>
      <c r="Y236" s="167" t="str">
        <f>IF(OR($P$227="",$P$230="",X236="",X236&gt;18),"",IF($P$227="Mini C bue","",HLOOKUP($P$230,Data!$D$119:$H$137,X236+1,FALSE)))</f>
        <v/>
      </c>
      <c r="Z236" s="97" t="str">
        <f>IF(OR(Y236="",X236=""),"",IF(Y236&gt;4,"IKKE OK","OK"))</f>
        <v/>
      </c>
      <c r="AA236" s="84"/>
    </row>
    <row r="237" spans="1:27" x14ac:dyDescent="0.25">
      <c r="A237" s="58">
        <v>2</v>
      </c>
      <c r="B237" s="84"/>
      <c r="C237" s="417"/>
      <c r="D237" s="418"/>
      <c r="E237" s="84"/>
      <c r="F237" s="84"/>
      <c r="G237" s="84"/>
      <c r="H237" s="84"/>
      <c r="I237" s="109"/>
      <c r="J237" s="167" t="str">
        <f>IF(OR($A$227="",$A$230="",I237="",I237&gt;18),"",HLOOKUP($A$230,Data!$D$119:$H$137,I237+1,FALSE))</f>
        <v/>
      </c>
      <c r="K237" s="97" t="str">
        <f t="shared" ref="K237:K239" si="5">IF(OR(J237="",I237=""),"",IF(J237&gt;4,"IKKE OK","OK"))</f>
        <v/>
      </c>
      <c r="L237" s="84"/>
      <c r="M237" s="109">
        <v>12</v>
      </c>
      <c r="N237" s="281" t="str">
        <f t="shared" ref="N237:N239" si="6">IF(OR($A$227="",$A$230="",I237="",I237&gt;18,M237=""),"",IF($A$227="Mini C bue",I237-M237,""))</f>
        <v/>
      </c>
      <c r="P237" s="58">
        <v>2</v>
      </c>
      <c r="Q237" s="84"/>
      <c r="R237" s="417"/>
      <c r="S237" s="418"/>
      <c r="T237" s="84"/>
      <c r="U237" s="84"/>
      <c r="V237" s="84"/>
      <c r="W237" s="84"/>
      <c r="X237" s="109"/>
      <c r="Y237" s="167" t="str">
        <f>IF(OR($P$227="",$P$230="",X237="",X237&gt;18),"",IF($P$227="Mini C bue","",HLOOKUP($P$230,Data!$D$119:$H$137,X237+1,FALSE)))</f>
        <v/>
      </c>
      <c r="Z237" s="97" t="str">
        <f t="shared" ref="Z237:Z239" si="7">IF(OR(Y237="",X237=""),"",IF(Y237&gt;4,"IKKE OK","OK"))</f>
        <v/>
      </c>
      <c r="AA237" s="84"/>
    </row>
    <row r="238" spans="1:27" x14ac:dyDescent="0.25">
      <c r="A238" s="58">
        <v>3</v>
      </c>
      <c r="B238" s="84"/>
      <c r="C238" s="417"/>
      <c r="D238" s="418"/>
      <c r="E238" s="84"/>
      <c r="F238" s="84"/>
      <c r="G238" s="84"/>
      <c r="H238" s="84"/>
      <c r="I238" s="109"/>
      <c r="J238" s="167" t="str">
        <f>IF(OR($A$227="",$A$230="",I238="",I238&gt;18),"",HLOOKUP($A$230,Data!$D$119:$H$137,I238+1,FALSE))</f>
        <v/>
      </c>
      <c r="K238" s="97" t="str">
        <f t="shared" ref="K238" si="8">IF(OR(J238="",I238=""),"",IF(J238&gt;4,"IKKE OK","OK"))</f>
        <v/>
      </c>
      <c r="L238" s="84"/>
      <c r="M238" s="109">
        <v>12</v>
      </c>
      <c r="N238" s="281" t="str">
        <f t="shared" si="6"/>
        <v/>
      </c>
      <c r="P238" s="58">
        <v>3</v>
      </c>
      <c r="Q238" s="84"/>
      <c r="R238" s="417"/>
      <c r="S238" s="418"/>
      <c r="T238" s="84"/>
      <c r="U238" s="84"/>
      <c r="V238" s="84"/>
      <c r="W238" s="84"/>
      <c r="X238" s="109"/>
      <c r="Y238" s="167" t="str">
        <f>IF(OR($P$227="",$P$230="",X238="",X238&gt;18),"",IF($P$227="Mini C bue","",HLOOKUP($P$230,Data!$D$119:$H$137,X238+1,FALSE)))</f>
        <v/>
      </c>
      <c r="Z238" s="97" t="str">
        <f t="shared" si="7"/>
        <v/>
      </c>
      <c r="AA238" s="84"/>
    </row>
    <row r="239" spans="1:27" x14ac:dyDescent="0.25">
      <c r="A239" s="58">
        <v>4</v>
      </c>
      <c r="B239" s="84"/>
      <c r="C239" s="417"/>
      <c r="D239" s="418"/>
      <c r="E239" s="84"/>
      <c r="F239" s="84"/>
      <c r="G239" s="84"/>
      <c r="H239" s="84"/>
      <c r="I239" s="109"/>
      <c r="J239" s="167" t="str">
        <f>IF(OR($A$227="",$A$230="",I239="",I239&gt;18),"",HLOOKUP($A$230,Data!$D$119:$H$137,I239+1,FALSE))</f>
        <v/>
      </c>
      <c r="K239" s="97" t="str">
        <f t="shared" si="5"/>
        <v/>
      </c>
      <c r="L239" s="84"/>
      <c r="M239" s="109">
        <v>12</v>
      </c>
      <c r="N239" s="281" t="str">
        <f t="shared" si="6"/>
        <v/>
      </c>
      <c r="P239" s="58">
        <v>4</v>
      </c>
      <c r="Q239" s="84"/>
      <c r="R239" s="417"/>
      <c r="S239" s="418"/>
      <c r="T239" s="84"/>
      <c r="U239" s="84"/>
      <c r="V239" s="84"/>
      <c r="W239" s="84"/>
      <c r="X239" s="109"/>
      <c r="Y239" s="167" t="str">
        <f>IF(OR($P$227="",$P$230="",X239="",X239&gt;18),"",IF($P$227="Mini C bue","",HLOOKUP($P$230,Data!$D$119:$H$137,X239+1,FALSE)))</f>
        <v/>
      </c>
      <c r="Z239" s="97" t="str">
        <f t="shared" si="7"/>
        <v/>
      </c>
      <c r="AA239" s="84"/>
    </row>
    <row r="240" spans="1:27" x14ac:dyDescent="0.25">
      <c r="A240" s="55" t="s">
        <v>42</v>
      </c>
      <c r="B240" s="55" t="s">
        <v>105</v>
      </c>
      <c r="C240" s="181" t="s">
        <v>276</v>
      </c>
      <c r="D240" s="183"/>
      <c r="E240" s="55" t="s">
        <v>47</v>
      </c>
      <c r="F240" s="55" t="s">
        <v>53</v>
      </c>
      <c r="G240" s="55" t="s">
        <v>44</v>
      </c>
      <c r="H240" s="55" t="s">
        <v>45</v>
      </c>
      <c r="I240" s="55" t="s">
        <v>72</v>
      </c>
      <c r="J240" s="55" t="s">
        <v>76</v>
      </c>
      <c r="K240" s="55" t="s">
        <v>61</v>
      </c>
      <c r="L240" s="55" t="s">
        <v>278</v>
      </c>
      <c r="M240" s="55" t="str">
        <f>IF(OR($A$227="",$I$236=""),"",IF($A$227="Mini C bue","Antal", ""))</f>
        <v/>
      </c>
      <c r="N240" s="55" t="str">
        <f>IF(OR($A$227="",$I$236=""),"",IF($A$227="Mini C bue","Antal", ""))</f>
        <v/>
      </c>
      <c r="P240" s="55" t="s">
        <v>42</v>
      </c>
      <c r="Q240" s="55" t="s">
        <v>105</v>
      </c>
      <c r="R240" s="181" t="s">
        <v>276</v>
      </c>
      <c r="S240" s="183"/>
      <c r="T240" s="55" t="s">
        <v>47</v>
      </c>
      <c r="U240" s="55" t="s">
        <v>53</v>
      </c>
      <c r="V240" s="55" t="s">
        <v>44</v>
      </c>
      <c r="W240" s="55" t="s">
        <v>45</v>
      </c>
      <c r="X240" s="55" t="s">
        <v>72</v>
      </c>
      <c r="Y240" s="55" t="s">
        <v>76</v>
      </c>
      <c r="Z240" s="55" t="s">
        <v>61</v>
      </c>
      <c r="AA240" s="55" t="s">
        <v>278</v>
      </c>
    </row>
    <row r="241" spans="1:27" x14ac:dyDescent="0.25">
      <c r="A241" s="56"/>
      <c r="B241" s="56"/>
      <c r="C241" s="175"/>
      <c r="D241" s="176"/>
      <c r="E241" s="56" t="s">
        <v>49</v>
      </c>
      <c r="F241" s="56" t="s">
        <v>54</v>
      </c>
      <c r="G241" s="56"/>
      <c r="H241" s="56"/>
      <c r="I241" s="56" t="s">
        <v>75</v>
      </c>
      <c r="J241" s="56" t="s">
        <v>52</v>
      </c>
      <c r="K241" s="56"/>
      <c r="L241" s="56" t="s">
        <v>279</v>
      </c>
      <c r="M241" s="56" t="str">
        <f>IF(OR($A$227="",$I$236=""),"",IF($A$227="Mini C bue","lavkontrast", ""))</f>
        <v/>
      </c>
      <c r="N241" s="56" t="str">
        <f>IF(OR($A$227="",$I$236=""),"",IF($A$227="Mini C bue","lavkontrast", ""))</f>
        <v/>
      </c>
      <c r="P241" s="56"/>
      <c r="Q241" s="56"/>
      <c r="R241" s="175"/>
      <c r="S241" s="176"/>
      <c r="T241" s="56" t="s">
        <v>49</v>
      </c>
      <c r="U241" s="56" t="s">
        <v>54</v>
      </c>
      <c r="V241" s="56"/>
      <c r="W241" s="56"/>
      <c r="X241" s="56" t="s">
        <v>75</v>
      </c>
      <c r="Y241" s="56" t="s">
        <v>52</v>
      </c>
      <c r="Z241" s="56"/>
      <c r="AA241" s="56" t="s">
        <v>279</v>
      </c>
    </row>
    <row r="242" spans="1:27" x14ac:dyDescent="0.25">
      <c r="A242" s="57"/>
      <c r="B242" s="57"/>
      <c r="C242" s="177"/>
      <c r="D242" s="178"/>
      <c r="E242" s="57"/>
      <c r="F242" s="57"/>
      <c r="G242" s="57"/>
      <c r="H242" s="57"/>
      <c r="I242" s="57" t="s">
        <v>73</v>
      </c>
      <c r="J242" s="57"/>
      <c r="K242" s="165" t="s">
        <v>154</v>
      </c>
      <c r="L242" s="57" t="s">
        <v>103</v>
      </c>
      <c r="M242" s="57" t="str">
        <f>IF(OR($A$227="",$I$236=""),"",IF($A$227="Mini C bue","skiver", ""))</f>
        <v/>
      </c>
      <c r="N242" s="57" t="str">
        <f>IF(OR($A$227="",$I$236=""),"",IF($A$227="Mini C bue","skiver", ""))</f>
        <v/>
      </c>
      <c r="P242" s="57"/>
      <c r="Q242" s="57"/>
      <c r="R242" s="177"/>
      <c r="S242" s="178"/>
      <c r="T242" s="57"/>
      <c r="U242" s="57"/>
      <c r="V242" s="57"/>
      <c r="W242" s="57"/>
      <c r="X242" s="57" t="s">
        <v>73</v>
      </c>
      <c r="Y242" s="57"/>
      <c r="Z242" s="165" t="s">
        <v>154</v>
      </c>
      <c r="AA242" s="57" t="s">
        <v>103</v>
      </c>
    </row>
    <row r="243" spans="1:27" x14ac:dyDescent="0.25">
      <c r="A243" s="58">
        <v>1</v>
      </c>
      <c r="B243" s="84"/>
      <c r="C243" s="417"/>
      <c r="D243" s="418"/>
      <c r="E243" s="84"/>
      <c r="F243" s="84"/>
      <c r="G243" s="84"/>
      <c r="H243" s="84"/>
      <c r="I243" s="109"/>
      <c r="J243" s="167" t="str">
        <f>IF(OR($A$227="",$A$230="",I243="",I243&gt;18),"",HLOOKUP($A$230,Data!$D$119:$H$137,I243+1,FALSE))</f>
        <v/>
      </c>
      <c r="K243" s="97" t="str">
        <f>IF(OR(J243="",I243=""),"",IF(J243&gt;2.7,"IKKE OK","OK"))</f>
        <v/>
      </c>
      <c r="L243" s="84"/>
      <c r="M243" s="109">
        <v>12</v>
      </c>
      <c r="N243" s="281" t="str">
        <f>IF(OR($A$227="",$A$230="",I243="",I243&gt;18,M243=""),"",IF($A$227="Mini C bue",I243-M243,""))</f>
        <v/>
      </c>
      <c r="P243" s="58">
        <v>1</v>
      </c>
      <c r="Q243" s="84"/>
      <c r="R243" s="417"/>
      <c r="S243" s="418"/>
      <c r="T243" s="84"/>
      <c r="U243" s="84"/>
      <c r="V243" s="84"/>
      <c r="W243" s="84"/>
      <c r="X243" s="109"/>
      <c r="Y243" s="167" t="str">
        <f>IF(OR($P$227="",$P$230="",X243="",X243&gt;18),"",IF($P$227="Mini C bue","",HLOOKUP($P$230,Data!$D$119:$H$137,X243+1,FALSE)))</f>
        <v/>
      </c>
      <c r="Z243" s="97" t="str">
        <f>IF(OR(Y243="",X243=""),"",IF(Y243&gt;2.7,"IKKE OK","OK"))</f>
        <v/>
      </c>
      <c r="AA243" s="84"/>
    </row>
    <row r="244" spans="1:27" x14ac:dyDescent="0.25">
      <c r="A244" s="58">
        <v>2</v>
      </c>
      <c r="B244" s="84"/>
      <c r="C244" s="417"/>
      <c r="D244" s="418"/>
      <c r="E244" s="84"/>
      <c r="F244" s="84"/>
      <c r="G244" s="84"/>
      <c r="H244" s="84"/>
      <c r="I244" s="109"/>
      <c r="J244" s="167" t="str">
        <f>IF(OR($A$227="",$A$230="",I244="",I244&gt;18),"",HLOOKUP($A$230,Data!$D$119:$H$137,I244+1,FALSE))</f>
        <v/>
      </c>
      <c r="K244" s="97" t="str">
        <f t="shared" ref="K244:K246" si="9">IF(OR(J244="",I244=""),"",IF(J244&gt;2.7,"IKKE OK","OK"))</f>
        <v/>
      </c>
      <c r="L244" s="84"/>
      <c r="M244" s="109">
        <v>12</v>
      </c>
      <c r="N244" s="281" t="str">
        <f t="shared" ref="N244:N246" si="10">IF(OR($A$227="",$A$230="",I244="",I244&gt;18,M244=""),"",IF($A$227="Mini C bue",I244-M244,""))</f>
        <v/>
      </c>
      <c r="P244" s="58">
        <v>2</v>
      </c>
      <c r="Q244" s="84"/>
      <c r="R244" s="417"/>
      <c r="S244" s="418"/>
      <c r="T244" s="84"/>
      <c r="U244" s="84"/>
      <c r="V244" s="84"/>
      <c r="W244" s="84"/>
      <c r="X244" s="109"/>
      <c r="Y244" s="167" t="str">
        <f>IF(OR($P$227="",$P$230="",X244="",X244&gt;18),"",IF($P$227="Mini C bue","",HLOOKUP($P$230,Data!$D$119:$H$137,X244+1,FALSE)))</f>
        <v/>
      </c>
      <c r="Z244" s="97" t="str">
        <f t="shared" ref="Z244:Z246" si="11">IF(OR(Y244="",X244=""),"",IF(Y244&gt;2.7,"IKKE OK","OK"))</f>
        <v/>
      </c>
      <c r="AA244" s="84"/>
    </row>
    <row r="245" spans="1:27" x14ac:dyDescent="0.25">
      <c r="A245" s="58">
        <v>3</v>
      </c>
      <c r="B245" s="84"/>
      <c r="C245" s="417"/>
      <c r="D245" s="418"/>
      <c r="E245" s="84"/>
      <c r="F245" s="84"/>
      <c r="G245" s="84"/>
      <c r="H245" s="84"/>
      <c r="I245" s="109"/>
      <c r="J245" s="167" t="str">
        <f>IF(OR($A$227="",$A$230="",I245="",I245&gt;18),"",HLOOKUP($A$230,Data!$D$119:$H$137,I245+1,FALSE))</f>
        <v/>
      </c>
      <c r="K245" s="97" t="str">
        <f t="shared" ref="K245" si="12">IF(OR(J245="",I245=""),"",IF(J245&gt;2.7,"IKKE OK","OK"))</f>
        <v/>
      </c>
      <c r="L245" s="84"/>
      <c r="M245" s="109">
        <v>12</v>
      </c>
      <c r="N245" s="281" t="str">
        <f t="shared" si="10"/>
        <v/>
      </c>
      <c r="P245" s="58">
        <v>3</v>
      </c>
      <c r="Q245" s="84"/>
      <c r="R245" s="417"/>
      <c r="S245" s="418"/>
      <c r="T245" s="84"/>
      <c r="U245" s="84"/>
      <c r="V245" s="84"/>
      <c r="W245" s="84"/>
      <c r="X245" s="109"/>
      <c r="Y245" s="167" t="str">
        <f>IF(OR($P$227="",$P$230="",X245="",X245&gt;18),"",IF($P$227="Mini C bue","",HLOOKUP($P$230,Data!$D$119:$H$137,X245+1,FALSE)))</f>
        <v/>
      </c>
      <c r="Z245" s="97" t="str">
        <f t="shared" si="11"/>
        <v/>
      </c>
      <c r="AA245" s="84"/>
    </row>
    <row r="246" spans="1:27" x14ac:dyDescent="0.25">
      <c r="A246" s="58">
        <v>4</v>
      </c>
      <c r="B246" s="84"/>
      <c r="C246" s="417"/>
      <c r="D246" s="418"/>
      <c r="E246" s="84"/>
      <c r="F246" s="84"/>
      <c r="G246" s="84"/>
      <c r="H246" s="84"/>
      <c r="I246" s="109"/>
      <c r="J246" s="167" t="str">
        <f>IF(OR($A$227="",$A$230="",I246="",I246&gt;18),"",HLOOKUP($A$230,Data!$D$119:$H$137,I246+1,FALSE))</f>
        <v/>
      </c>
      <c r="K246" s="97" t="str">
        <f t="shared" si="9"/>
        <v/>
      </c>
      <c r="L246" s="84"/>
      <c r="M246" s="109">
        <v>12</v>
      </c>
      <c r="N246" s="281" t="str">
        <f t="shared" si="10"/>
        <v/>
      </c>
      <c r="P246" s="58">
        <v>4</v>
      </c>
      <c r="Q246" s="84"/>
      <c r="R246" s="417"/>
      <c r="S246" s="418"/>
      <c r="T246" s="84"/>
      <c r="U246" s="84"/>
      <c r="V246" s="84"/>
      <c r="W246" s="84"/>
      <c r="X246" s="109"/>
      <c r="Y246" s="167" t="str">
        <f>IF(OR($P$227="",$P$230="",X246="",X246&gt;18),"",IF($P$227="Mini C bue","",HLOOKUP($P$230,Data!$D$119:$H$137,X246+1,FALSE)))</f>
        <v/>
      </c>
      <c r="Z246" s="97" t="str">
        <f t="shared" si="11"/>
        <v/>
      </c>
      <c r="AA246" s="84"/>
    </row>
    <row r="249" spans="1:27" ht="18.75" x14ac:dyDescent="0.3">
      <c r="A249" s="43" t="s">
        <v>412</v>
      </c>
      <c r="B249" s="45"/>
      <c r="C249" s="45"/>
      <c r="D249" s="45"/>
      <c r="E249" s="45"/>
      <c r="F249" s="43" t="s">
        <v>632</v>
      </c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51"/>
    </row>
    <row r="251" spans="1:27" x14ac:dyDescent="0.25">
      <c r="A251" s="46" t="s">
        <v>270</v>
      </c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68" t="s">
        <v>90</v>
      </c>
      <c r="M251" s="47"/>
      <c r="N251" s="47"/>
      <c r="O251" s="47"/>
      <c r="P251" s="47"/>
      <c r="Q251" s="47"/>
    </row>
    <row r="252" spans="1:27" x14ac:dyDescent="0.25">
      <c r="A252" s="48" t="s">
        <v>40</v>
      </c>
      <c r="B252" s="49" t="s">
        <v>66</v>
      </c>
      <c r="C252" s="49"/>
      <c r="D252" s="49"/>
      <c r="E252" s="49"/>
      <c r="F252" s="49"/>
      <c r="G252" s="49"/>
      <c r="H252" s="49"/>
      <c r="I252" s="49"/>
      <c r="J252" s="49"/>
      <c r="K252" s="264"/>
      <c r="L252" s="453"/>
      <c r="M252" s="454"/>
      <c r="N252" s="454"/>
      <c r="O252" s="454"/>
      <c r="P252" s="454"/>
      <c r="Q252" s="455"/>
    </row>
    <row r="253" spans="1:27" x14ac:dyDescent="0.25">
      <c r="A253" s="50" t="s">
        <v>646</v>
      </c>
      <c r="B253" s="51" t="s">
        <v>814</v>
      </c>
      <c r="C253" s="51"/>
      <c r="D253" s="51"/>
      <c r="E253" s="51"/>
      <c r="F253" s="51"/>
      <c r="G253" s="51"/>
      <c r="H253" s="51"/>
      <c r="I253" s="51"/>
      <c r="J253" s="51"/>
      <c r="K253" s="82"/>
      <c r="L253" s="441"/>
      <c r="M253" s="442"/>
      <c r="N253" s="442"/>
      <c r="O253" s="442"/>
      <c r="P253" s="442"/>
      <c r="Q253" s="443"/>
    </row>
    <row r="254" spans="1:27" x14ac:dyDescent="0.25">
      <c r="A254" s="50" t="s">
        <v>639</v>
      </c>
      <c r="B254" s="23" t="s">
        <v>490</v>
      </c>
      <c r="C254" s="51"/>
      <c r="D254" s="51"/>
      <c r="E254" s="51"/>
      <c r="F254" s="51"/>
      <c r="G254" s="51"/>
      <c r="H254" s="51"/>
      <c r="I254" s="51"/>
      <c r="J254" s="51"/>
      <c r="K254" s="82"/>
      <c r="L254" s="441"/>
      <c r="M254" s="442"/>
      <c r="N254" s="442"/>
      <c r="O254" s="442"/>
      <c r="P254" s="442"/>
      <c r="Q254" s="443"/>
    </row>
    <row r="255" spans="1:27" x14ac:dyDescent="0.25">
      <c r="A255" s="50"/>
      <c r="B255" s="51" t="s">
        <v>492</v>
      </c>
      <c r="C255" s="51"/>
      <c r="D255" s="51"/>
      <c r="E255" s="51"/>
      <c r="F255" s="51"/>
      <c r="G255" s="51"/>
      <c r="H255" s="51"/>
      <c r="I255" s="51"/>
      <c r="J255" s="51"/>
      <c r="K255" s="82"/>
      <c r="L255" s="441"/>
      <c r="M255" s="442"/>
      <c r="N255" s="442"/>
      <c r="O255" s="442"/>
      <c r="P255" s="442"/>
      <c r="Q255" s="443"/>
    </row>
    <row r="256" spans="1:27" x14ac:dyDescent="0.25">
      <c r="A256" s="50"/>
      <c r="B256" s="51" t="s">
        <v>493</v>
      </c>
      <c r="C256" s="51"/>
      <c r="D256" s="51"/>
      <c r="E256" s="51"/>
      <c r="F256" s="51"/>
      <c r="G256" s="51"/>
      <c r="H256" s="51"/>
      <c r="I256" s="51"/>
      <c r="J256" s="51"/>
      <c r="K256" s="82"/>
      <c r="L256" s="441"/>
      <c r="M256" s="442"/>
      <c r="N256" s="442"/>
      <c r="O256" s="442"/>
      <c r="P256" s="442"/>
      <c r="Q256" s="443"/>
    </row>
    <row r="257" spans="1:17" x14ac:dyDescent="0.25">
      <c r="A257" s="50"/>
      <c r="B257" s="23" t="s">
        <v>491</v>
      </c>
      <c r="C257" s="51"/>
      <c r="D257" s="51"/>
      <c r="E257" s="51"/>
      <c r="F257" s="51"/>
      <c r="G257" s="51"/>
      <c r="H257" s="51"/>
      <c r="I257" s="51"/>
      <c r="J257" s="51"/>
      <c r="K257" s="82"/>
      <c r="L257" s="441"/>
      <c r="M257" s="442"/>
      <c r="N257" s="442"/>
      <c r="O257" s="442"/>
      <c r="P257" s="442"/>
      <c r="Q257" s="443"/>
    </row>
    <row r="258" spans="1:17" x14ac:dyDescent="0.25">
      <c r="A258" s="50"/>
      <c r="B258" s="51" t="s">
        <v>492</v>
      </c>
      <c r="C258" s="51"/>
      <c r="D258" s="51"/>
      <c r="E258" s="51"/>
      <c r="F258" s="51"/>
      <c r="G258" s="51"/>
      <c r="H258" s="51"/>
      <c r="I258" s="51"/>
      <c r="J258" s="51"/>
      <c r="K258" s="82"/>
      <c r="L258" s="441"/>
      <c r="M258" s="442"/>
      <c r="N258" s="442"/>
      <c r="O258" s="442"/>
      <c r="P258" s="442"/>
      <c r="Q258" s="443"/>
    </row>
    <row r="259" spans="1:17" x14ac:dyDescent="0.25">
      <c r="A259" s="50"/>
      <c r="B259" s="23" t="s">
        <v>541</v>
      </c>
      <c r="C259" s="51"/>
      <c r="D259" s="51"/>
      <c r="E259" s="51"/>
      <c r="F259" s="51"/>
      <c r="G259" s="51"/>
      <c r="H259" s="51"/>
      <c r="I259" s="51"/>
      <c r="J259" s="51"/>
      <c r="K259" s="82"/>
      <c r="L259" s="441"/>
      <c r="M259" s="442"/>
      <c r="N259" s="442"/>
      <c r="O259" s="442"/>
      <c r="P259" s="442"/>
      <c r="Q259" s="443"/>
    </row>
    <row r="260" spans="1:17" x14ac:dyDescent="0.25">
      <c r="A260" s="50"/>
      <c r="B260" s="51" t="s">
        <v>142</v>
      </c>
      <c r="C260" s="51"/>
      <c r="D260" s="51"/>
      <c r="E260" s="51"/>
      <c r="F260" s="51"/>
      <c r="G260" s="51"/>
      <c r="H260" s="51"/>
      <c r="I260" s="51"/>
      <c r="J260" s="51"/>
      <c r="K260" s="82"/>
      <c r="L260" s="441"/>
      <c r="M260" s="442"/>
      <c r="N260" s="442"/>
      <c r="O260" s="442"/>
      <c r="P260" s="442"/>
      <c r="Q260" s="443"/>
    </row>
    <row r="261" spans="1:17" x14ac:dyDescent="0.25">
      <c r="A261" s="50"/>
      <c r="B261" s="51" t="s">
        <v>542</v>
      </c>
      <c r="C261" s="51"/>
      <c r="D261" s="51"/>
      <c r="E261" s="51"/>
      <c r="F261" s="51"/>
      <c r="G261" s="51"/>
      <c r="H261" s="51"/>
      <c r="I261" s="51"/>
      <c r="J261" s="51"/>
      <c r="K261" s="82"/>
      <c r="L261" s="441"/>
      <c r="M261" s="442"/>
      <c r="N261" s="442"/>
      <c r="O261" s="442"/>
      <c r="P261" s="442"/>
      <c r="Q261" s="443"/>
    </row>
    <row r="262" spans="1:17" x14ac:dyDescent="0.25">
      <c r="A262" s="50"/>
      <c r="B262" s="51" t="s">
        <v>818</v>
      </c>
      <c r="C262" s="51"/>
      <c r="D262" s="51"/>
      <c r="E262" s="51"/>
      <c r="F262" s="51"/>
      <c r="G262" s="51"/>
      <c r="H262" s="51"/>
      <c r="I262" s="51"/>
      <c r="J262" s="51"/>
      <c r="K262" s="82"/>
      <c r="L262" s="441"/>
      <c r="M262" s="442"/>
      <c r="N262" s="442"/>
      <c r="O262" s="442"/>
      <c r="P262" s="442"/>
      <c r="Q262" s="443"/>
    </row>
    <row r="263" spans="1:17" x14ac:dyDescent="0.25">
      <c r="A263" s="50"/>
      <c r="B263" s="51" t="s">
        <v>819</v>
      </c>
      <c r="C263" s="51"/>
      <c r="D263" s="51"/>
      <c r="E263" s="51"/>
      <c r="F263" s="51"/>
      <c r="G263" s="51"/>
      <c r="H263" s="51"/>
      <c r="I263" s="51"/>
      <c r="J263" s="51"/>
      <c r="K263" s="82"/>
      <c r="L263" s="441"/>
      <c r="M263" s="442"/>
      <c r="N263" s="442"/>
      <c r="O263" s="442"/>
      <c r="P263" s="442"/>
      <c r="Q263" s="443"/>
    </row>
    <row r="264" spans="1:17" x14ac:dyDescent="0.25">
      <c r="A264" s="50"/>
      <c r="B264" s="65" t="s">
        <v>274</v>
      </c>
      <c r="C264" s="51"/>
      <c r="D264" s="51"/>
      <c r="E264" s="51"/>
      <c r="F264" s="51"/>
      <c r="G264" s="51"/>
      <c r="H264" s="51"/>
      <c r="I264" s="51"/>
      <c r="J264" s="51"/>
      <c r="K264" s="82"/>
      <c r="L264" s="441"/>
      <c r="M264" s="442"/>
      <c r="N264" s="442"/>
      <c r="O264" s="442"/>
      <c r="P264" s="442"/>
      <c r="Q264" s="443"/>
    </row>
    <row r="265" spans="1:17" x14ac:dyDescent="0.25">
      <c r="A265" s="50"/>
      <c r="B265" s="51" t="s">
        <v>815</v>
      </c>
      <c r="C265" s="51"/>
      <c r="D265" s="51"/>
      <c r="E265" s="51"/>
      <c r="F265" s="51"/>
      <c r="G265" s="51"/>
      <c r="H265" s="51"/>
      <c r="I265" s="51"/>
      <c r="J265" s="51"/>
      <c r="K265" s="82"/>
      <c r="L265" s="441"/>
      <c r="M265" s="442"/>
      <c r="N265" s="442"/>
      <c r="O265" s="442"/>
      <c r="P265" s="442"/>
      <c r="Q265" s="443"/>
    </row>
    <row r="266" spans="1:17" x14ac:dyDescent="0.25">
      <c r="A266" s="50"/>
      <c r="B266" s="51" t="s">
        <v>543</v>
      </c>
      <c r="C266" s="51"/>
      <c r="D266" s="51"/>
      <c r="E266" s="51"/>
      <c r="F266" s="51"/>
      <c r="G266" s="51"/>
      <c r="H266" s="51"/>
      <c r="I266" s="51"/>
      <c r="J266" s="51"/>
      <c r="K266" s="82"/>
      <c r="L266" s="441"/>
      <c r="M266" s="442"/>
      <c r="N266" s="442"/>
      <c r="O266" s="442"/>
      <c r="P266" s="442"/>
      <c r="Q266" s="443"/>
    </row>
    <row r="267" spans="1:17" x14ac:dyDescent="0.25">
      <c r="A267" s="50"/>
      <c r="B267" s="51" t="s">
        <v>544</v>
      </c>
      <c r="C267" s="51"/>
      <c r="D267" s="51"/>
      <c r="E267" s="51"/>
      <c r="F267" s="51"/>
      <c r="G267" s="51"/>
      <c r="H267" s="51"/>
      <c r="I267" s="51"/>
      <c r="J267" s="51"/>
      <c r="K267" s="82"/>
      <c r="L267" s="441"/>
      <c r="M267" s="442"/>
      <c r="N267" s="442"/>
      <c r="O267" s="442"/>
      <c r="P267" s="442"/>
      <c r="Q267" s="443"/>
    </row>
    <row r="268" spans="1:17" x14ac:dyDescent="0.25">
      <c r="A268" s="50"/>
      <c r="B268" s="51" t="s">
        <v>816</v>
      </c>
      <c r="C268" s="51"/>
      <c r="D268" s="51"/>
      <c r="E268" s="51"/>
      <c r="F268" s="51"/>
      <c r="G268" s="51"/>
      <c r="H268" s="51"/>
      <c r="I268" s="51"/>
      <c r="J268" s="51"/>
      <c r="K268" s="82"/>
      <c r="L268" s="441"/>
      <c r="M268" s="442"/>
      <c r="N268" s="442"/>
      <c r="O268" s="442"/>
      <c r="P268" s="442"/>
      <c r="Q268" s="443"/>
    </row>
    <row r="269" spans="1:17" x14ac:dyDescent="0.25">
      <c r="A269" s="50"/>
      <c r="B269" s="215" t="s">
        <v>494</v>
      </c>
      <c r="C269" s="51"/>
      <c r="D269" s="51"/>
      <c r="E269" s="51"/>
      <c r="F269" s="51"/>
      <c r="G269" s="51"/>
      <c r="H269" s="51"/>
      <c r="I269" s="51"/>
      <c r="J269" s="51"/>
      <c r="K269" s="82"/>
      <c r="L269" s="441"/>
      <c r="M269" s="442"/>
      <c r="N269" s="442"/>
      <c r="O269" s="442"/>
      <c r="P269" s="442"/>
      <c r="Q269" s="443"/>
    </row>
    <row r="270" spans="1:17" x14ac:dyDescent="0.25">
      <c r="A270" s="50"/>
      <c r="B270" s="65" t="s">
        <v>545</v>
      </c>
      <c r="C270" s="51"/>
      <c r="D270" s="51"/>
      <c r="E270" s="51"/>
      <c r="F270" s="51"/>
      <c r="G270" s="51"/>
      <c r="H270" s="51"/>
      <c r="I270" s="51"/>
      <c r="J270" s="51"/>
      <c r="K270" s="82"/>
      <c r="L270" s="441"/>
      <c r="M270" s="442"/>
      <c r="N270" s="442"/>
      <c r="O270" s="442"/>
      <c r="P270" s="442"/>
      <c r="Q270" s="443"/>
    </row>
    <row r="271" spans="1:17" x14ac:dyDescent="0.25">
      <c r="A271" s="50"/>
      <c r="B271" s="51" t="s">
        <v>489</v>
      </c>
      <c r="C271" s="51"/>
      <c r="D271" s="51"/>
      <c r="E271" s="51"/>
      <c r="F271" s="51"/>
      <c r="G271" s="51"/>
      <c r="H271" s="51"/>
      <c r="I271" s="51"/>
      <c r="J271" s="51"/>
      <c r="K271" s="82"/>
      <c r="L271" s="441"/>
      <c r="M271" s="442"/>
      <c r="N271" s="442"/>
      <c r="O271" s="442"/>
      <c r="P271" s="442"/>
      <c r="Q271" s="443"/>
    </row>
    <row r="272" spans="1:17" x14ac:dyDescent="0.25">
      <c r="A272" s="50"/>
      <c r="B272" s="23" t="s">
        <v>518</v>
      </c>
      <c r="C272" s="51"/>
      <c r="D272" s="51"/>
      <c r="E272" s="51"/>
      <c r="F272" s="51"/>
      <c r="G272" s="51"/>
      <c r="H272" s="51"/>
      <c r="I272" s="51"/>
      <c r="J272" s="51"/>
      <c r="K272" s="82"/>
      <c r="L272" s="441"/>
      <c r="M272" s="442"/>
      <c r="N272" s="442"/>
      <c r="O272" s="442"/>
      <c r="P272" s="442"/>
      <c r="Q272" s="443"/>
    </row>
    <row r="273" spans="1:17" x14ac:dyDescent="0.25">
      <c r="A273" s="50"/>
      <c r="B273" s="51" t="s">
        <v>546</v>
      </c>
      <c r="C273" s="51"/>
      <c r="D273" s="51"/>
      <c r="E273" s="51"/>
      <c r="F273" s="51"/>
      <c r="G273" s="51"/>
      <c r="H273" s="51"/>
      <c r="I273" s="51"/>
      <c r="J273" s="51"/>
      <c r="K273" s="82"/>
      <c r="L273" s="441"/>
      <c r="M273" s="442"/>
      <c r="N273" s="442"/>
      <c r="O273" s="442"/>
      <c r="P273" s="442"/>
      <c r="Q273" s="443"/>
    </row>
    <row r="274" spans="1:17" x14ac:dyDescent="0.25">
      <c r="A274" s="50"/>
      <c r="B274" s="51" t="s">
        <v>817</v>
      </c>
      <c r="C274" s="51"/>
      <c r="D274" s="51"/>
      <c r="E274" s="51"/>
      <c r="F274" s="51"/>
      <c r="G274" s="51"/>
      <c r="H274" s="51"/>
      <c r="I274" s="51"/>
      <c r="J274" s="51"/>
      <c r="K274" s="82"/>
      <c r="L274" s="441"/>
      <c r="M274" s="442"/>
      <c r="N274" s="442"/>
      <c r="O274" s="442"/>
      <c r="P274" s="442"/>
      <c r="Q274" s="443"/>
    </row>
    <row r="275" spans="1:17" x14ac:dyDescent="0.25">
      <c r="A275" s="50" t="s">
        <v>41</v>
      </c>
      <c r="B275" s="51" t="s">
        <v>820</v>
      </c>
      <c r="C275" s="51"/>
      <c r="D275" s="51"/>
      <c r="E275" s="51"/>
      <c r="F275" s="51"/>
      <c r="G275" s="51"/>
      <c r="H275" s="51"/>
      <c r="I275" s="51"/>
      <c r="J275" s="51"/>
      <c r="K275" s="82"/>
      <c r="L275" s="441"/>
      <c r="M275" s="442"/>
      <c r="N275" s="442"/>
      <c r="O275" s="442"/>
      <c r="P275" s="442"/>
      <c r="Q275" s="443"/>
    </row>
    <row r="276" spans="1:17" x14ac:dyDescent="0.25">
      <c r="A276" s="50"/>
      <c r="B276" s="378" t="s">
        <v>155</v>
      </c>
      <c r="C276" s="404"/>
      <c r="D276" s="378" t="s">
        <v>166</v>
      </c>
      <c r="E276" s="312"/>
      <c r="F276" s="51"/>
      <c r="G276" s="51"/>
      <c r="H276" s="51"/>
      <c r="I276" s="51"/>
      <c r="J276" s="51"/>
      <c r="K276" s="82"/>
      <c r="L276" s="441"/>
      <c r="M276" s="442"/>
      <c r="N276" s="442"/>
      <c r="O276" s="442"/>
      <c r="P276" s="442"/>
      <c r="Q276" s="443"/>
    </row>
    <row r="277" spans="1:17" x14ac:dyDescent="0.25">
      <c r="A277" s="50"/>
      <c r="B277" s="80" t="s">
        <v>156</v>
      </c>
      <c r="C277" s="226"/>
      <c r="D277" s="80" t="s">
        <v>157</v>
      </c>
      <c r="E277" s="82"/>
      <c r="F277" s="51"/>
      <c r="G277" s="51"/>
      <c r="H277" s="51"/>
      <c r="I277" s="51"/>
      <c r="J277" s="51"/>
      <c r="K277" s="82"/>
      <c r="L277" s="441"/>
      <c r="M277" s="442"/>
      <c r="N277" s="442"/>
      <c r="O277" s="442"/>
      <c r="P277" s="442"/>
      <c r="Q277" s="443"/>
    </row>
    <row r="278" spans="1:17" x14ac:dyDescent="0.25">
      <c r="A278" s="50"/>
      <c r="B278" s="80" t="s">
        <v>158</v>
      </c>
      <c r="C278" s="226"/>
      <c r="D278" s="80" t="s">
        <v>159</v>
      </c>
      <c r="E278" s="82"/>
      <c r="F278" s="51"/>
      <c r="G278" s="51"/>
      <c r="H278" s="51"/>
      <c r="I278" s="51"/>
      <c r="J278" s="51"/>
      <c r="K278" s="82"/>
      <c r="L278" s="441"/>
      <c r="M278" s="442"/>
      <c r="N278" s="442"/>
      <c r="O278" s="442"/>
      <c r="P278" s="442"/>
      <c r="Q278" s="443"/>
    </row>
    <row r="279" spans="1:17" x14ac:dyDescent="0.25">
      <c r="A279" s="50"/>
      <c r="B279" s="80" t="s">
        <v>160</v>
      </c>
      <c r="C279" s="226"/>
      <c r="D279" s="80" t="s">
        <v>161</v>
      </c>
      <c r="E279" s="82"/>
      <c r="F279" s="51"/>
      <c r="G279" s="51"/>
      <c r="H279" s="51"/>
      <c r="I279" s="51"/>
      <c r="J279" s="51"/>
      <c r="K279" s="82"/>
      <c r="L279" s="441"/>
      <c r="M279" s="442"/>
      <c r="N279" s="442"/>
      <c r="O279" s="442"/>
      <c r="P279" s="442"/>
      <c r="Q279" s="443"/>
    </row>
    <row r="280" spans="1:17" x14ac:dyDescent="0.25">
      <c r="A280" s="50"/>
      <c r="B280" s="80" t="s">
        <v>162</v>
      </c>
      <c r="C280" s="226"/>
      <c r="D280" s="80" t="s">
        <v>163</v>
      </c>
      <c r="E280" s="82"/>
      <c r="F280" s="51"/>
      <c r="G280" s="51"/>
      <c r="H280" s="51"/>
      <c r="I280" s="51"/>
      <c r="J280" s="51"/>
      <c r="K280" s="82"/>
      <c r="L280" s="441"/>
      <c r="M280" s="442"/>
      <c r="N280" s="442"/>
      <c r="O280" s="442"/>
      <c r="P280" s="442"/>
      <c r="Q280" s="443"/>
    </row>
    <row r="281" spans="1:17" x14ac:dyDescent="0.25">
      <c r="A281" s="50"/>
      <c r="B281" s="81" t="s">
        <v>164</v>
      </c>
      <c r="C281" s="232"/>
      <c r="D281" s="81" t="s">
        <v>165</v>
      </c>
      <c r="E281" s="83"/>
      <c r="F281" s="51"/>
      <c r="G281" s="51"/>
      <c r="H281" s="51"/>
      <c r="I281" s="51"/>
      <c r="J281" s="51"/>
      <c r="K281" s="82"/>
      <c r="L281" s="441"/>
      <c r="M281" s="442"/>
      <c r="N281" s="442"/>
      <c r="O281" s="442"/>
      <c r="P281" s="442"/>
      <c r="Q281" s="443"/>
    </row>
    <row r="282" spans="1:17" x14ac:dyDescent="0.25">
      <c r="A282" s="50"/>
      <c r="B282" s="215" t="s">
        <v>628</v>
      </c>
      <c r="C282" s="51"/>
      <c r="D282" s="51"/>
      <c r="E282" s="51"/>
      <c r="F282" s="51"/>
      <c r="G282" s="51"/>
      <c r="H282" s="51"/>
      <c r="I282" s="51"/>
      <c r="J282" s="51"/>
      <c r="K282" s="82"/>
      <c r="L282" s="441"/>
      <c r="M282" s="442"/>
      <c r="N282" s="442"/>
      <c r="O282" s="442"/>
      <c r="P282" s="442"/>
      <c r="Q282" s="443"/>
    </row>
    <row r="283" spans="1:17" x14ac:dyDescent="0.25">
      <c r="A283" s="50"/>
      <c r="B283" s="215" t="s">
        <v>629</v>
      </c>
      <c r="C283" s="51"/>
      <c r="D283" s="51"/>
      <c r="E283" s="51"/>
      <c r="F283" s="51"/>
      <c r="G283" s="51"/>
      <c r="H283" s="51"/>
      <c r="I283" s="51"/>
      <c r="J283" s="51"/>
      <c r="K283" s="82"/>
      <c r="L283" s="441"/>
      <c r="M283" s="442"/>
      <c r="N283" s="442"/>
      <c r="O283" s="442"/>
      <c r="P283" s="442"/>
      <c r="Q283" s="443"/>
    </row>
    <row r="284" spans="1:17" x14ac:dyDescent="0.25">
      <c r="A284" s="50"/>
      <c r="B284" s="51"/>
      <c r="C284" s="51"/>
      <c r="D284" s="51"/>
      <c r="E284" s="51"/>
      <c r="F284" s="51"/>
      <c r="G284" s="51"/>
      <c r="H284" s="51"/>
      <c r="I284" s="51"/>
      <c r="J284" s="51"/>
      <c r="K284" s="82"/>
      <c r="L284" s="441"/>
      <c r="M284" s="442"/>
      <c r="N284" s="442"/>
      <c r="O284" s="442"/>
      <c r="P284" s="442"/>
      <c r="Q284" s="443"/>
    </row>
    <row r="285" spans="1:17" x14ac:dyDescent="0.25">
      <c r="A285" s="50"/>
      <c r="B285" s="51"/>
      <c r="C285" s="51"/>
      <c r="D285" s="51"/>
      <c r="E285" s="51"/>
      <c r="F285" s="51"/>
      <c r="G285" s="51"/>
      <c r="H285" s="51"/>
      <c r="I285" s="51"/>
      <c r="J285" s="51"/>
      <c r="K285" s="82"/>
      <c r="L285" s="441"/>
      <c r="M285" s="442"/>
      <c r="N285" s="442"/>
      <c r="O285" s="442"/>
      <c r="P285" s="442"/>
      <c r="Q285" s="443"/>
    </row>
    <row r="286" spans="1:17" x14ac:dyDescent="0.25">
      <c r="A286" s="50"/>
      <c r="B286" s="51"/>
      <c r="C286" s="51"/>
      <c r="D286" s="51"/>
      <c r="E286" s="51"/>
      <c r="F286" s="51"/>
      <c r="G286" s="51"/>
      <c r="H286" s="51"/>
      <c r="I286" s="51"/>
      <c r="J286" s="51"/>
      <c r="K286" s="82"/>
      <c r="L286" s="441"/>
      <c r="M286" s="442"/>
      <c r="N286" s="442"/>
      <c r="O286" s="442"/>
      <c r="P286" s="442"/>
      <c r="Q286" s="443"/>
    </row>
    <row r="287" spans="1:17" x14ac:dyDescent="0.25">
      <c r="A287" s="50"/>
      <c r="B287" s="51"/>
      <c r="C287" s="51"/>
      <c r="D287" s="51"/>
      <c r="E287" s="51"/>
      <c r="F287" s="51"/>
      <c r="G287" s="51"/>
      <c r="H287" s="51"/>
      <c r="I287" s="51"/>
      <c r="J287" s="51"/>
      <c r="K287" s="82"/>
      <c r="L287" s="441"/>
      <c r="M287" s="442"/>
      <c r="N287" s="442"/>
      <c r="O287" s="442"/>
      <c r="P287" s="442"/>
      <c r="Q287" s="443"/>
    </row>
    <row r="288" spans="1:17" x14ac:dyDescent="0.25">
      <c r="A288" s="50"/>
      <c r="B288" s="51"/>
      <c r="C288" s="51"/>
      <c r="D288" s="51"/>
      <c r="E288" s="51"/>
      <c r="F288" s="51"/>
      <c r="G288" s="51"/>
      <c r="H288" s="51" t="s">
        <v>630</v>
      </c>
      <c r="I288" s="51"/>
      <c r="J288" s="51"/>
      <c r="K288" s="82"/>
      <c r="L288" s="441"/>
      <c r="M288" s="442"/>
      <c r="N288" s="442"/>
      <c r="O288" s="442"/>
      <c r="P288" s="442"/>
      <c r="Q288" s="443"/>
    </row>
    <row r="289" spans="1:27" x14ac:dyDescent="0.25">
      <c r="A289" s="52"/>
      <c r="B289" s="72"/>
      <c r="C289" s="72"/>
      <c r="D289" s="72"/>
      <c r="E289" s="72"/>
      <c r="F289" s="72"/>
      <c r="G289" s="72"/>
      <c r="H289" s="72"/>
      <c r="I289" s="72"/>
      <c r="J289" s="72"/>
      <c r="K289" s="83"/>
      <c r="L289" s="444"/>
      <c r="M289" s="445"/>
      <c r="N289" s="445"/>
      <c r="O289" s="445"/>
      <c r="P289" s="445"/>
      <c r="Q289" s="446"/>
    </row>
    <row r="290" spans="1:27" x14ac:dyDescent="0.25">
      <c r="A290" s="240" t="s">
        <v>659</v>
      </c>
      <c r="B290" s="216" t="s">
        <v>660</v>
      </c>
      <c r="C290" s="49"/>
      <c r="D290" s="49"/>
      <c r="E290" s="49"/>
      <c r="F290" s="49"/>
      <c r="G290" s="49"/>
      <c r="H290" s="49"/>
      <c r="I290" s="49"/>
      <c r="J290" s="49"/>
      <c r="K290" s="373" t="s">
        <v>684</v>
      </c>
      <c r="L290" s="200"/>
      <c r="M290" s="382"/>
      <c r="N290" s="382"/>
      <c r="O290" s="382"/>
      <c r="P290" s="382"/>
      <c r="Q290" s="383"/>
    </row>
    <row r="291" spans="1:27" x14ac:dyDescent="0.25">
      <c r="A291" s="242"/>
      <c r="B291" s="168" t="s">
        <v>661</v>
      </c>
      <c r="C291" s="72"/>
      <c r="D291" s="72"/>
      <c r="E291" s="72"/>
      <c r="F291" s="72"/>
      <c r="G291" s="72"/>
      <c r="H291" s="72"/>
      <c r="I291" s="72"/>
      <c r="J291" s="72"/>
      <c r="K291" s="374" t="s">
        <v>662</v>
      </c>
      <c r="L291" s="444"/>
      <c r="M291" s="445"/>
      <c r="N291" s="445"/>
      <c r="O291" s="445"/>
      <c r="P291" s="445"/>
      <c r="Q291" s="446"/>
    </row>
    <row r="292" spans="1:27" x14ac:dyDescent="0.25">
      <c r="A292" s="51"/>
      <c r="I292" s="44"/>
      <c r="J292" s="44"/>
      <c r="K292" s="44"/>
      <c r="L292" s="44"/>
      <c r="M292" s="44"/>
      <c r="N292" s="44"/>
      <c r="O292" s="44"/>
      <c r="P292" s="44"/>
      <c r="Q292" s="44"/>
    </row>
    <row r="293" spans="1:27" x14ac:dyDescent="0.25">
      <c r="A293" s="53" t="s">
        <v>295</v>
      </c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/>
      <c r="Q293" s="54"/>
    </row>
    <row r="294" spans="1:27" x14ac:dyDescent="0.25">
      <c r="A294" s="121"/>
      <c r="B294" s="51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</row>
    <row r="295" spans="1:27" x14ac:dyDescent="0.25">
      <c r="A295" s="122" t="str">
        <f>IF(Oplysningsside!$B$15="","",Oplysningsside!$B$15)</f>
        <v>Bi-plan</v>
      </c>
      <c r="B295" s="283" t="s">
        <v>445</v>
      </c>
      <c r="C295" s="216"/>
      <c r="D295" s="216"/>
      <c r="E295" s="216"/>
      <c r="F295" s="216"/>
      <c r="G295" s="216"/>
      <c r="H295" s="216"/>
      <c r="I295" s="216"/>
      <c r="J295" s="216"/>
      <c r="K295" s="216"/>
      <c r="L295" s="216"/>
      <c r="M295" s="217"/>
      <c r="O295" s="122" t="str">
        <f>IF(Oplysningsside!$B$15="","",Oplysningsside!$B$15)</f>
        <v>Bi-plan</v>
      </c>
      <c r="P295" s="283" t="s">
        <v>445</v>
      </c>
      <c r="Q295" s="216"/>
      <c r="R295" s="216"/>
      <c r="S295" s="216"/>
      <c r="T295" s="216"/>
      <c r="U295" s="216"/>
      <c r="V295" s="216"/>
      <c r="W295" s="216"/>
      <c r="X295" s="216"/>
      <c r="Y295" s="216"/>
      <c r="Z295" s="216"/>
      <c r="AA295" s="217"/>
    </row>
    <row r="296" spans="1:27" x14ac:dyDescent="0.25">
      <c r="A296" s="106"/>
      <c r="B296" s="215" t="s">
        <v>282</v>
      </c>
      <c r="C296" s="215"/>
      <c r="D296" s="215"/>
      <c r="E296" s="215"/>
      <c r="F296" s="215"/>
      <c r="G296" s="215"/>
      <c r="H296" s="215"/>
      <c r="I296" s="51"/>
      <c r="J296" s="51"/>
      <c r="K296" s="51"/>
      <c r="L296" s="215"/>
      <c r="M296" s="226"/>
      <c r="O296" s="106" t="s">
        <v>74</v>
      </c>
      <c r="P296" s="215" t="s">
        <v>282</v>
      </c>
      <c r="Q296" s="215"/>
      <c r="R296" s="215"/>
      <c r="S296" s="215"/>
      <c r="T296" s="215"/>
      <c r="U296" s="215"/>
      <c r="V296" s="215"/>
      <c r="W296" s="51"/>
      <c r="X296" s="51"/>
      <c r="Y296" s="51"/>
      <c r="Z296" s="215"/>
      <c r="AA296" s="226"/>
    </row>
    <row r="297" spans="1:27" x14ac:dyDescent="0.25">
      <c r="A297" s="290"/>
      <c r="B297" s="215" t="s">
        <v>413</v>
      </c>
      <c r="C297" s="215"/>
      <c r="D297" s="215"/>
      <c r="E297" s="215"/>
      <c r="F297" s="215"/>
      <c r="G297" s="215"/>
      <c r="H297" s="215"/>
      <c r="I297" s="51"/>
      <c r="J297" s="249"/>
      <c r="K297" s="51"/>
      <c r="L297" s="215"/>
      <c r="M297" s="226"/>
      <c r="O297" s="103" t="s">
        <v>677</v>
      </c>
      <c r="P297" s="215" t="s">
        <v>413</v>
      </c>
      <c r="Q297" s="215"/>
      <c r="R297" s="215"/>
      <c r="S297" s="215"/>
      <c r="T297" s="215"/>
      <c r="U297" s="215"/>
      <c r="V297" s="215"/>
      <c r="W297" s="51"/>
      <c r="X297" s="249"/>
      <c r="Y297" s="51"/>
      <c r="Z297" s="215"/>
      <c r="AA297" s="226"/>
    </row>
    <row r="298" spans="1:27" x14ac:dyDescent="0.25">
      <c r="A298" s="106"/>
      <c r="B298" s="215" t="s">
        <v>365</v>
      </c>
      <c r="C298" s="215"/>
      <c r="D298" s="215"/>
      <c r="E298" s="215"/>
      <c r="F298" s="215"/>
      <c r="G298" s="241"/>
      <c r="H298" s="215"/>
      <c r="I298" s="51"/>
      <c r="J298" s="400"/>
      <c r="K298" s="218"/>
      <c r="L298" s="215"/>
      <c r="M298" s="226"/>
      <c r="O298" s="106" t="s">
        <v>582</v>
      </c>
      <c r="P298" s="215" t="s">
        <v>365</v>
      </c>
      <c r="Q298" s="215"/>
      <c r="R298" s="215"/>
      <c r="S298" s="215"/>
      <c r="T298" s="215"/>
      <c r="U298" s="215"/>
      <c r="V298" s="215"/>
      <c r="W298" s="51"/>
      <c r="X298" s="249"/>
      <c r="Y298" s="51"/>
      <c r="Z298" s="215"/>
      <c r="AA298" s="226"/>
    </row>
    <row r="299" spans="1:27" x14ac:dyDescent="0.25">
      <c r="A299" s="193"/>
      <c r="B299" s="215"/>
      <c r="C299" s="215"/>
      <c r="D299" s="215"/>
      <c r="E299" s="215"/>
      <c r="F299" s="215"/>
      <c r="G299" s="215"/>
      <c r="H299" s="215"/>
      <c r="I299" s="215"/>
      <c r="J299" s="215"/>
      <c r="K299" s="215"/>
      <c r="L299" s="215"/>
      <c r="M299" s="226"/>
      <c r="O299" s="193"/>
      <c r="P299" s="215"/>
      <c r="Q299" s="215"/>
      <c r="R299" s="215"/>
      <c r="S299" s="215"/>
      <c r="T299" s="215"/>
      <c r="U299" s="215"/>
      <c r="V299" s="215"/>
      <c r="W299" s="215"/>
      <c r="X299" s="215"/>
      <c r="Y299" s="215"/>
      <c r="Z299" s="215"/>
      <c r="AA299" s="226"/>
    </row>
    <row r="300" spans="1:27" x14ac:dyDescent="0.25">
      <c r="A300" s="197"/>
      <c r="B300" s="260" t="s">
        <v>457</v>
      </c>
      <c r="C300" s="168"/>
      <c r="D300" s="168"/>
      <c r="E300" s="168"/>
      <c r="F300" s="168"/>
      <c r="G300" s="168"/>
      <c r="H300" s="168"/>
      <c r="I300" s="168"/>
      <c r="J300" s="168"/>
      <c r="K300" s="168"/>
      <c r="L300" s="168"/>
      <c r="M300" s="232"/>
      <c r="O300" s="197"/>
      <c r="P300" s="23" t="s">
        <v>458</v>
      </c>
      <c r="Q300" s="168"/>
      <c r="R300" s="168"/>
      <c r="S300" s="168"/>
      <c r="T300" s="168"/>
      <c r="U300" s="168"/>
      <c r="V300" s="168"/>
      <c r="W300" s="168"/>
      <c r="X300" s="168"/>
      <c r="Y300" s="168"/>
      <c r="Z300" s="168"/>
      <c r="AA300" s="232"/>
    </row>
    <row r="301" spans="1:27" x14ac:dyDescent="0.25">
      <c r="A301" s="55" t="s">
        <v>42</v>
      </c>
      <c r="B301" s="55" t="s">
        <v>105</v>
      </c>
      <c r="C301" s="181" t="s">
        <v>275</v>
      </c>
      <c r="D301" s="183"/>
      <c r="E301" s="55" t="s">
        <v>46</v>
      </c>
      <c r="F301" s="55" t="s">
        <v>53</v>
      </c>
      <c r="G301" s="55" t="s">
        <v>44</v>
      </c>
      <c r="H301" s="55" t="s">
        <v>45</v>
      </c>
      <c r="I301" s="55" t="s">
        <v>77</v>
      </c>
      <c r="J301" s="55" t="s">
        <v>80</v>
      </c>
      <c r="K301" s="55" t="s">
        <v>80</v>
      </c>
      <c r="L301" s="55" t="s">
        <v>61</v>
      </c>
      <c r="M301" s="55" t="s">
        <v>278</v>
      </c>
      <c r="O301" s="55" t="s">
        <v>42</v>
      </c>
      <c r="P301" s="55" t="s">
        <v>105</v>
      </c>
      <c r="Q301" s="181" t="s">
        <v>275</v>
      </c>
      <c r="R301" s="183"/>
      <c r="S301" s="55" t="s">
        <v>46</v>
      </c>
      <c r="T301" s="55" t="s">
        <v>53</v>
      </c>
      <c r="U301" s="55" t="s">
        <v>44</v>
      </c>
      <c r="V301" s="55" t="s">
        <v>45</v>
      </c>
      <c r="W301" s="55" t="s">
        <v>77</v>
      </c>
      <c r="X301" s="55" t="s">
        <v>80</v>
      </c>
      <c r="Y301" s="55" t="s">
        <v>80</v>
      </c>
      <c r="Z301" s="55" t="s">
        <v>61</v>
      </c>
      <c r="AA301" s="55" t="s">
        <v>278</v>
      </c>
    </row>
    <row r="302" spans="1:27" x14ac:dyDescent="0.25">
      <c r="A302" s="56"/>
      <c r="B302" s="56"/>
      <c r="C302" s="175"/>
      <c r="D302" s="176"/>
      <c r="E302" s="56" t="s">
        <v>48</v>
      </c>
      <c r="F302" s="56" t="s">
        <v>54</v>
      </c>
      <c r="G302" s="56"/>
      <c r="H302" s="56"/>
      <c r="I302" s="56" t="s">
        <v>78</v>
      </c>
      <c r="J302" s="56" t="s">
        <v>81</v>
      </c>
      <c r="K302" s="56" t="s">
        <v>81</v>
      </c>
      <c r="L302" s="56"/>
      <c r="M302" s="56" t="s">
        <v>279</v>
      </c>
      <c r="O302" s="56"/>
      <c r="P302" s="56"/>
      <c r="Q302" s="175"/>
      <c r="R302" s="176"/>
      <c r="S302" s="56" t="s">
        <v>48</v>
      </c>
      <c r="T302" s="56" t="s">
        <v>54</v>
      </c>
      <c r="U302" s="56"/>
      <c r="V302" s="56"/>
      <c r="W302" s="56" t="s">
        <v>78</v>
      </c>
      <c r="X302" s="56" t="s">
        <v>81</v>
      </c>
      <c r="Y302" s="56" t="s">
        <v>81</v>
      </c>
      <c r="Z302" s="56"/>
      <c r="AA302" s="56" t="s">
        <v>279</v>
      </c>
    </row>
    <row r="303" spans="1:27" x14ac:dyDescent="0.25">
      <c r="A303" s="57"/>
      <c r="B303" s="57"/>
      <c r="C303" s="177"/>
      <c r="D303" s="178"/>
      <c r="E303" s="57"/>
      <c r="F303" s="57"/>
      <c r="G303" s="57"/>
      <c r="H303" s="57"/>
      <c r="I303" s="57" t="s">
        <v>79</v>
      </c>
      <c r="J303" s="57"/>
      <c r="K303" s="57" t="s">
        <v>283</v>
      </c>
      <c r="L303" s="165"/>
      <c r="M303" s="57" t="s">
        <v>103</v>
      </c>
      <c r="O303" s="57"/>
      <c r="P303" s="57"/>
      <c r="Q303" s="177"/>
      <c r="R303" s="178"/>
      <c r="S303" s="57"/>
      <c r="T303" s="57"/>
      <c r="U303" s="57"/>
      <c r="V303" s="57"/>
      <c r="W303" s="57" t="s">
        <v>79</v>
      </c>
      <c r="X303" s="57"/>
      <c r="Y303" s="57" t="s">
        <v>283</v>
      </c>
      <c r="Z303" s="165"/>
      <c r="AA303" s="57" t="s">
        <v>103</v>
      </c>
    </row>
    <row r="304" spans="1:27" x14ac:dyDescent="0.25">
      <c r="A304" s="58">
        <v>1</v>
      </c>
      <c r="B304" s="84"/>
      <c r="C304" s="417"/>
      <c r="D304" s="418"/>
      <c r="E304" s="393"/>
      <c r="F304" s="393"/>
      <c r="G304" s="393"/>
      <c r="H304" s="393"/>
      <c r="I304" s="393"/>
      <c r="J304" s="166" t="str">
        <f>IF(OR($A$298="",I304="",I304&gt;21),"",HLOOKUP($A$298,Data!$D$92:$H$113,'5. Monitorer og billedkvalitet'!I304+1,FALSE))</f>
        <v/>
      </c>
      <c r="K304" s="167" t="str">
        <f>IF(OR(F304="",J304=""),"",IF(F304&gt;30.1,1,IF(AND(F304&gt;24,F304&lt;30.1),1.4,IF(AND(F304&gt;18,F304&lt;24.1),1.6,IF(AND(F304&gt;15,F304&lt;18.1),1.8,2)))))</f>
        <v/>
      </c>
      <c r="L304" s="97" t="str">
        <f>IF(OR(F304="",J304=""),"",IF(J304&lt;K304,"IKKE OK","OK"))</f>
        <v/>
      </c>
      <c r="M304" s="84"/>
      <c r="O304" s="58">
        <v>1</v>
      </c>
      <c r="P304" s="84"/>
      <c r="Q304" s="417"/>
      <c r="R304" s="418"/>
      <c r="S304" s="84"/>
      <c r="T304" s="84"/>
      <c r="U304" s="84"/>
      <c r="V304" s="84"/>
      <c r="W304" s="84"/>
      <c r="X304" s="166" t="str">
        <f>IF(OR($O$298="",W304="",W304&gt;21),"",HLOOKUP($O$298,Data!$D$92:$H$113,'5. Monitorer og billedkvalitet'!W304+1,FALSE))</f>
        <v/>
      </c>
      <c r="Y304" s="167" t="str">
        <f>IF(OR(T304="",X304=""),"",IF(T304&gt;30.1,1,IF(AND(T304&gt;24,T304&lt;30.1),1.4,IF(AND(T304&gt;18,T304&lt;24.1),1.6,IF(AND(T304&gt;15,T304&lt;18.1),1.8,2)))))</f>
        <v/>
      </c>
      <c r="Z304" s="97" t="str">
        <f>IF(OR(T304="",X304=""),"",IF(X304&lt;Y304,"IKKE OK","OK"))</f>
        <v/>
      </c>
      <c r="AA304" s="84"/>
    </row>
    <row r="305" spans="1:27" x14ac:dyDescent="0.25">
      <c r="A305" s="58">
        <v>2</v>
      </c>
      <c r="B305" s="84"/>
      <c r="C305" s="417"/>
      <c r="D305" s="418"/>
      <c r="E305" s="84"/>
      <c r="F305" s="84"/>
      <c r="G305" s="84"/>
      <c r="H305" s="84"/>
      <c r="I305" s="84"/>
      <c r="J305" s="166" t="str">
        <f>IF(OR($A$298="",I305="",I305&gt;21),"",HLOOKUP($A$298,Data!$D$92:$H$113,'5. Monitorer og billedkvalitet'!I305+1,FALSE))</f>
        <v/>
      </c>
      <c r="K305" s="167" t="str">
        <f t="shared" ref="K305:K311" si="13">IF(OR(F305="",J305=""),"",IF(F305&gt;30.1,1,IF(AND(F305&gt;24,F305&lt;30.1),1.4,IF(AND(F305&gt;18,F305&lt;24.1),1.6,IF(AND(F305&gt;15,F305&lt;18.1),1.8,2)))))</f>
        <v/>
      </c>
      <c r="L305" s="97" t="str">
        <f t="shared" ref="L305:L311" si="14">IF(OR(F305="",J305=""),"",IF(J305&lt;K305,"IKKE OK","OK"))</f>
        <v/>
      </c>
      <c r="M305" s="84"/>
      <c r="O305" s="58">
        <v>2</v>
      </c>
      <c r="P305" s="84"/>
      <c r="Q305" s="417"/>
      <c r="R305" s="418"/>
      <c r="S305" s="84"/>
      <c r="T305" s="84"/>
      <c r="U305" s="84"/>
      <c r="V305" s="84"/>
      <c r="W305" s="84"/>
      <c r="X305" s="166" t="str">
        <f>IF(OR($O$298="",W305="",W305&gt;21),"",HLOOKUP($O$298,Data!$D$92:$H$113,'5. Monitorer og billedkvalitet'!W305+1,FALSE))</f>
        <v/>
      </c>
      <c r="Y305" s="167" t="str">
        <f t="shared" ref="Y305:Y311" si="15">IF(OR(T305="",X305=""),"",IF(T305&gt;30.1,1,IF(AND(T305&gt;24,T305&lt;30.1),1.4,IF(AND(T305&gt;18,T305&lt;24.1),1.6,IF(AND(T305&gt;15,T305&lt;18.1),1.8,2)))))</f>
        <v/>
      </c>
      <c r="Z305" s="97" t="str">
        <f t="shared" ref="Z305:Z310" si="16">IF(OR(T305="",X305=""),"",IF(X305&lt;Y305,"IKKE OK","OK"))</f>
        <v/>
      </c>
      <c r="AA305" s="84"/>
    </row>
    <row r="306" spans="1:27" x14ac:dyDescent="0.25">
      <c r="A306" s="58">
        <v>3</v>
      </c>
      <c r="B306" s="84"/>
      <c r="C306" s="417"/>
      <c r="D306" s="418"/>
      <c r="E306" s="84"/>
      <c r="F306" s="84"/>
      <c r="G306" s="84"/>
      <c r="H306" s="84"/>
      <c r="I306" s="84"/>
      <c r="J306" s="166" t="str">
        <f>IF(OR($A$298="",I306="",I306&gt;21),"",HLOOKUP($A$298,Data!$D$92:$H$113,'5. Monitorer og billedkvalitet'!I306+1,FALSE))</f>
        <v/>
      </c>
      <c r="K306" s="167" t="str">
        <f t="shared" si="13"/>
        <v/>
      </c>
      <c r="L306" s="97" t="str">
        <f t="shared" si="14"/>
        <v/>
      </c>
      <c r="M306" s="84"/>
      <c r="O306" s="58">
        <v>3</v>
      </c>
      <c r="P306" s="84"/>
      <c r="Q306" s="417"/>
      <c r="R306" s="418"/>
      <c r="S306" s="84"/>
      <c r="T306" s="84"/>
      <c r="U306" s="84"/>
      <c r="V306" s="84"/>
      <c r="W306" s="84"/>
      <c r="X306" s="166" t="str">
        <f>IF(OR($O$298="",W306="",W306&gt;21),"",HLOOKUP($O$298,Data!$D$92:$H$113,'5. Monitorer og billedkvalitet'!W306+1,FALSE))</f>
        <v/>
      </c>
      <c r="Y306" s="167" t="str">
        <f t="shared" si="15"/>
        <v/>
      </c>
      <c r="Z306" s="97" t="str">
        <f t="shared" si="16"/>
        <v/>
      </c>
      <c r="AA306" s="84"/>
    </row>
    <row r="307" spans="1:27" x14ac:dyDescent="0.25">
      <c r="A307" s="58">
        <v>4</v>
      </c>
      <c r="B307" s="84"/>
      <c r="C307" s="417"/>
      <c r="D307" s="418"/>
      <c r="E307" s="84"/>
      <c r="F307" s="84"/>
      <c r="G307" s="84"/>
      <c r="H307" s="84"/>
      <c r="I307" s="84"/>
      <c r="J307" s="166" t="str">
        <f>IF(OR($A$298="",I307="",I307&gt;21),"",HLOOKUP($A$298,Data!$D$92:$H$113,'5. Monitorer og billedkvalitet'!I307+1,FALSE))</f>
        <v/>
      </c>
      <c r="K307" s="167" t="str">
        <f t="shared" si="13"/>
        <v/>
      </c>
      <c r="L307" s="97" t="str">
        <f t="shared" si="14"/>
        <v/>
      </c>
      <c r="M307" s="84"/>
      <c r="O307" s="58">
        <v>4</v>
      </c>
      <c r="P307" s="84"/>
      <c r="Q307" s="417"/>
      <c r="R307" s="418"/>
      <c r="S307" s="84"/>
      <c r="T307" s="84"/>
      <c r="U307" s="84"/>
      <c r="V307" s="84"/>
      <c r="W307" s="84"/>
      <c r="X307" s="166" t="str">
        <f>IF(OR($O$298="",W307="",W307&gt;21),"",HLOOKUP($O$298,Data!$D$92:$H$113,'5. Monitorer og billedkvalitet'!W307+1,FALSE))</f>
        <v/>
      </c>
      <c r="Y307" s="167" t="str">
        <f t="shared" si="15"/>
        <v/>
      </c>
      <c r="Z307" s="97" t="str">
        <f t="shared" si="16"/>
        <v/>
      </c>
      <c r="AA307" s="84"/>
    </row>
    <row r="308" spans="1:27" x14ac:dyDescent="0.25">
      <c r="A308" s="58">
        <v>5</v>
      </c>
      <c r="B308" s="84"/>
      <c r="C308" s="417"/>
      <c r="D308" s="418"/>
      <c r="E308" s="84"/>
      <c r="F308" s="84"/>
      <c r="G308" s="84"/>
      <c r="H308" s="84"/>
      <c r="I308" s="84"/>
      <c r="J308" s="166" t="str">
        <f>IF(OR($A$298="",I308="",I308&gt;21),"",HLOOKUP($A$298,Data!$D$92:$H$113,'5. Monitorer og billedkvalitet'!I308+1,FALSE))</f>
        <v/>
      </c>
      <c r="K308" s="167" t="str">
        <f t="shared" si="13"/>
        <v/>
      </c>
      <c r="L308" s="97" t="str">
        <f t="shared" si="14"/>
        <v/>
      </c>
      <c r="M308" s="84"/>
      <c r="O308" s="58">
        <v>5</v>
      </c>
      <c r="P308" s="84"/>
      <c r="Q308" s="417"/>
      <c r="R308" s="418"/>
      <c r="S308" s="84"/>
      <c r="T308" s="84"/>
      <c r="U308" s="84"/>
      <c r="V308" s="84"/>
      <c r="W308" s="84"/>
      <c r="X308" s="166" t="str">
        <f>IF(OR($O$298="",W308="",W308&gt;21),"",HLOOKUP($O$298,Data!$D$92:$H$113,'5. Monitorer og billedkvalitet'!W308+1,FALSE))</f>
        <v/>
      </c>
      <c r="Y308" s="167" t="str">
        <f t="shared" si="15"/>
        <v/>
      </c>
      <c r="Z308" s="97" t="str">
        <f t="shared" si="16"/>
        <v/>
      </c>
      <c r="AA308" s="84"/>
    </row>
    <row r="309" spans="1:27" x14ac:dyDescent="0.25">
      <c r="A309" s="58">
        <v>6</v>
      </c>
      <c r="B309" s="84"/>
      <c r="C309" s="417"/>
      <c r="D309" s="418"/>
      <c r="E309" s="84"/>
      <c r="F309" s="84"/>
      <c r="G309" s="84"/>
      <c r="H309" s="84"/>
      <c r="I309" s="84"/>
      <c r="J309" s="166" t="str">
        <f>IF(OR($A$298="",I309="",I309&gt;21),"",HLOOKUP($A$298,Data!$D$92:$H$113,'5. Monitorer og billedkvalitet'!I309+1,FALSE))</f>
        <v/>
      </c>
      <c r="K309" s="167" t="str">
        <f t="shared" si="13"/>
        <v/>
      </c>
      <c r="L309" s="97" t="str">
        <f t="shared" si="14"/>
        <v/>
      </c>
      <c r="M309" s="84"/>
      <c r="O309" s="58">
        <v>6</v>
      </c>
      <c r="P309" s="84"/>
      <c r="Q309" s="417"/>
      <c r="R309" s="418"/>
      <c r="S309" s="84"/>
      <c r="T309" s="84"/>
      <c r="U309" s="84"/>
      <c r="V309" s="84"/>
      <c r="W309" s="84"/>
      <c r="X309" s="166" t="str">
        <f>IF(OR($O$298="",W309="",W309&gt;21),"",HLOOKUP($O$298,Data!$D$92:$H$113,'5. Monitorer og billedkvalitet'!W309+1,FALSE))</f>
        <v/>
      </c>
      <c r="Y309" s="167" t="str">
        <f t="shared" si="15"/>
        <v/>
      </c>
      <c r="Z309" s="97" t="str">
        <f t="shared" si="16"/>
        <v/>
      </c>
      <c r="AA309" s="84"/>
    </row>
    <row r="310" spans="1:27" x14ac:dyDescent="0.25">
      <c r="A310" s="58">
        <v>7</v>
      </c>
      <c r="B310" s="84"/>
      <c r="C310" s="417"/>
      <c r="D310" s="418"/>
      <c r="E310" s="84"/>
      <c r="F310" s="84"/>
      <c r="G310" s="84"/>
      <c r="H310" s="84"/>
      <c r="I310" s="84"/>
      <c r="J310" s="166" t="str">
        <f>IF(OR($A$298="",I310="",I310&gt;21),"",HLOOKUP($A$298,Data!$D$92:$H$113,'5. Monitorer og billedkvalitet'!I310+1,FALSE))</f>
        <v/>
      </c>
      <c r="K310" s="167" t="str">
        <f t="shared" si="13"/>
        <v/>
      </c>
      <c r="L310" s="97" t="str">
        <f t="shared" si="14"/>
        <v/>
      </c>
      <c r="M310" s="84"/>
      <c r="O310" s="58">
        <v>7</v>
      </c>
      <c r="P310" s="84"/>
      <c r="Q310" s="417"/>
      <c r="R310" s="418"/>
      <c r="S310" s="84"/>
      <c r="T310" s="84"/>
      <c r="U310" s="84"/>
      <c r="V310" s="84"/>
      <c r="W310" s="84"/>
      <c r="X310" s="166" t="str">
        <f>IF(OR($O$298="",W310="",W310&gt;21),"",HLOOKUP($O$298,Data!$D$92:$H$113,'5. Monitorer og billedkvalitet'!W310+1,FALSE))</f>
        <v/>
      </c>
      <c r="Y310" s="167" t="str">
        <f t="shared" si="15"/>
        <v/>
      </c>
      <c r="Z310" s="97" t="str">
        <f t="shared" si="16"/>
        <v/>
      </c>
      <c r="AA310" s="84"/>
    </row>
    <row r="311" spans="1:27" x14ac:dyDescent="0.25">
      <c r="A311" s="58">
        <v>8</v>
      </c>
      <c r="B311" s="84"/>
      <c r="C311" s="417"/>
      <c r="D311" s="418"/>
      <c r="E311" s="84"/>
      <c r="F311" s="84"/>
      <c r="G311" s="84"/>
      <c r="H311" s="84"/>
      <c r="I311" s="84"/>
      <c r="J311" s="166" t="str">
        <f>IF(OR($A$298="",I311="",I311&gt;21),"",HLOOKUP($A$298,Data!$D$92:$H$113,'5. Monitorer og billedkvalitet'!I311+1,FALSE))</f>
        <v/>
      </c>
      <c r="K311" s="167" t="str">
        <f t="shared" si="13"/>
        <v/>
      </c>
      <c r="L311" s="97" t="str">
        <f t="shared" si="14"/>
        <v/>
      </c>
      <c r="M311" s="84"/>
      <c r="O311" s="58">
        <v>8</v>
      </c>
      <c r="P311" s="84"/>
      <c r="Q311" s="417"/>
      <c r="R311" s="418"/>
      <c r="S311" s="84"/>
      <c r="T311" s="84"/>
      <c r="U311" s="84"/>
      <c r="V311" s="84"/>
      <c r="W311" s="84"/>
      <c r="X311" s="166" t="str">
        <f>IF(OR($O$298="",W311="",W311&gt;21),"",HLOOKUP($O$298,Data!$D$92:$H$113,'5. Monitorer og billedkvalitet'!W311+1,FALSE))</f>
        <v/>
      </c>
      <c r="Y311" s="167" t="str">
        <f t="shared" si="15"/>
        <v/>
      </c>
      <c r="Z311" s="97" t="str">
        <f t="shared" ref="Z311" si="17">IF(OR(T311="",X311=""),"",IF(X311&lt;Y311,"IKKE OK","OK"))</f>
        <v/>
      </c>
      <c r="AA311" s="84"/>
    </row>
    <row r="312" spans="1:27" x14ac:dyDescent="0.25">
      <c r="A312" s="55" t="s">
        <v>42</v>
      </c>
      <c r="B312" s="55" t="s">
        <v>105</v>
      </c>
      <c r="C312" s="181" t="s">
        <v>276</v>
      </c>
      <c r="D312" s="183"/>
      <c r="E312" s="55" t="s">
        <v>47</v>
      </c>
      <c r="F312" s="55" t="s">
        <v>53</v>
      </c>
      <c r="G312" s="55" t="s">
        <v>44</v>
      </c>
      <c r="H312" s="55" t="s">
        <v>45</v>
      </c>
      <c r="I312" s="55" t="s">
        <v>77</v>
      </c>
      <c r="J312" s="55" t="s">
        <v>80</v>
      </c>
      <c r="K312" s="55" t="s">
        <v>80</v>
      </c>
      <c r="L312" s="55" t="s">
        <v>61</v>
      </c>
      <c r="M312" s="55" t="s">
        <v>278</v>
      </c>
      <c r="O312" s="55" t="s">
        <v>42</v>
      </c>
      <c r="P312" s="55" t="s">
        <v>105</v>
      </c>
      <c r="Q312" s="181" t="s">
        <v>276</v>
      </c>
      <c r="R312" s="183"/>
      <c r="S312" s="55" t="s">
        <v>47</v>
      </c>
      <c r="T312" s="55" t="s">
        <v>53</v>
      </c>
      <c r="U312" s="55" t="s">
        <v>44</v>
      </c>
      <c r="V312" s="55" t="s">
        <v>45</v>
      </c>
      <c r="W312" s="55" t="s">
        <v>77</v>
      </c>
      <c r="X312" s="55" t="s">
        <v>80</v>
      </c>
      <c r="Y312" s="55" t="s">
        <v>80</v>
      </c>
      <c r="Z312" s="55" t="s">
        <v>61</v>
      </c>
      <c r="AA312" s="55" t="s">
        <v>278</v>
      </c>
    </row>
    <row r="313" spans="1:27" x14ac:dyDescent="0.25">
      <c r="A313" s="56"/>
      <c r="B313" s="56"/>
      <c r="C313" s="175"/>
      <c r="D313" s="176"/>
      <c r="E313" s="56" t="s">
        <v>49</v>
      </c>
      <c r="F313" s="56" t="s">
        <v>54</v>
      </c>
      <c r="G313" s="56"/>
      <c r="H313" s="56"/>
      <c r="I313" s="56" t="s">
        <v>78</v>
      </c>
      <c r="J313" s="56" t="s">
        <v>81</v>
      </c>
      <c r="K313" s="56" t="s">
        <v>81</v>
      </c>
      <c r="L313" s="56"/>
      <c r="M313" s="56" t="s">
        <v>279</v>
      </c>
      <c r="O313" s="56"/>
      <c r="P313" s="56"/>
      <c r="Q313" s="175"/>
      <c r="R313" s="176"/>
      <c r="S313" s="56" t="s">
        <v>49</v>
      </c>
      <c r="T313" s="56" t="s">
        <v>54</v>
      </c>
      <c r="U313" s="56"/>
      <c r="V313" s="56"/>
      <c r="W313" s="56" t="s">
        <v>78</v>
      </c>
      <c r="X313" s="56" t="s">
        <v>81</v>
      </c>
      <c r="Y313" s="56" t="s">
        <v>81</v>
      </c>
      <c r="Z313" s="56"/>
      <c r="AA313" s="56" t="s">
        <v>279</v>
      </c>
    </row>
    <row r="314" spans="1:27" x14ac:dyDescent="0.25">
      <c r="A314" s="57"/>
      <c r="B314" s="57"/>
      <c r="C314" s="177"/>
      <c r="D314" s="178"/>
      <c r="E314" s="57"/>
      <c r="F314" s="57"/>
      <c r="G314" s="57"/>
      <c r="H314" s="57"/>
      <c r="I314" s="57" t="s">
        <v>79</v>
      </c>
      <c r="J314" s="57"/>
      <c r="K314" s="57" t="s">
        <v>283</v>
      </c>
      <c r="L314" s="165"/>
      <c r="M314" s="57" t="s">
        <v>103</v>
      </c>
      <c r="O314" s="57"/>
      <c r="P314" s="57"/>
      <c r="Q314" s="177"/>
      <c r="R314" s="178"/>
      <c r="S314" s="57"/>
      <c r="T314" s="57"/>
      <c r="U314" s="57"/>
      <c r="V314" s="57"/>
      <c r="W314" s="57" t="s">
        <v>79</v>
      </c>
      <c r="X314" s="57"/>
      <c r="Y314" s="57" t="s">
        <v>283</v>
      </c>
      <c r="Z314" s="165"/>
      <c r="AA314" s="57" t="s">
        <v>103</v>
      </c>
    </row>
    <row r="315" spans="1:27" x14ac:dyDescent="0.25">
      <c r="A315" s="58">
        <v>1</v>
      </c>
      <c r="B315" s="84"/>
      <c r="C315" s="417"/>
      <c r="D315" s="418"/>
      <c r="E315" s="84"/>
      <c r="F315" s="84"/>
      <c r="G315" s="84"/>
      <c r="H315" s="84"/>
      <c r="I315" s="84"/>
      <c r="J315" s="166" t="str">
        <f>IF(OR($A$298="",I315="",I315&gt;21),"",HLOOKUP($A$298,Data!$D$92:$H$113,'5. Monitorer og billedkvalitet'!I315+1,FALSE))</f>
        <v/>
      </c>
      <c r="K315" s="167" t="str">
        <f t="shared" ref="K315:K318" si="18">IF(OR(F315="",J315=""),"",IF(F315&gt;30.1,1,IF(AND(F315&gt;24,F315&lt;30.1),1.4,IF(AND(F315&gt;18,F315&lt;24.1),1.6,IF(AND(F315&gt;15,F315&lt;18.1),1.8,2)))))</f>
        <v/>
      </c>
      <c r="L315" s="97" t="str">
        <f>IF(OR(F315="",J315=""),"",IF(J315&lt;K315,"IKKE OK","OK"))</f>
        <v/>
      </c>
      <c r="M315" s="84"/>
      <c r="O315" s="58">
        <v>1</v>
      </c>
      <c r="P315" s="84"/>
      <c r="Q315" s="417"/>
      <c r="R315" s="418"/>
      <c r="S315" s="84"/>
      <c r="T315" s="84"/>
      <c r="U315" s="84"/>
      <c r="V315" s="84"/>
      <c r="W315" s="84"/>
      <c r="X315" s="166" t="str">
        <f>IF(OR($O$298="",W315="",W315&gt;21),"",HLOOKUP($O$298,Data!$D$92:$H$113,'5. Monitorer og billedkvalitet'!W315+1,FALSE))</f>
        <v/>
      </c>
      <c r="Y315" s="167" t="str">
        <f t="shared" ref="Y315:Y322" si="19">IF(OR(T315="",X315=""),"",IF(T315&gt;30.1,1,IF(AND(T315&gt;24,T315&lt;30.1),1.4,IF(AND(T315&gt;18,T315&lt;24.1),1.6,IF(AND(T315&gt;15,T315&lt;18.1),1.8,2)))))</f>
        <v/>
      </c>
      <c r="Z315" s="97" t="str">
        <f>IF(OR(T315="",X315=""),"",IF(X315&lt;Y315,"IKKE OK","OK"))</f>
        <v/>
      </c>
      <c r="AA315" s="84"/>
    </row>
    <row r="316" spans="1:27" x14ac:dyDescent="0.25">
      <c r="A316" s="58">
        <v>2</v>
      </c>
      <c r="B316" s="84"/>
      <c r="C316" s="417"/>
      <c r="D316" s="418"/>
      <c r="E316" s="84"/>
      <c r="F316" s="84"/>
      <c r="G316" s="84"/>
      <c r="H316" s="84"/>
      <c r="I316" s="84"/>
      <c r="J316" s="166" t="str">
        <f>IF(OR($A$298="",I316="",I316&gt;21),"",HLOOKUP($A$298,Data!$D$92:$H$113,'5. Monitorer og billedkvalitet'!I316+1,FALSE))</f>
        <v/>
      </c>
      <c r="K316" s="167" t="str">
        <f t="shared" si="18"/>
        <v/>
      </c>
      <c r="L316" s="97" t="str">
        <f t="shared" ref="L316:L318" si="20">IF(OR(F316="",J316=""),"",IF(J316&lt;K316,"IKKE OK","OK"))</f>
        <v/>
      </c>
      <c r="M316" s="84"/>
      <c r="O316" s="58">
        <v>2</v>
      </c>
      <c r="P316" s="84"/>
      <c r="Q316" s="417"/>
      <c r="R316" s="418"/>
      <c r="S316" s="84"/>
      <c r="T316" s="84"/>
      <c r="U316" s="84"/>
      <c r="V316" s="84"/>
      <c r="W316" s="84"/>
      <c r="X316" s="166" t="str">
        <f>IF(OR($O$298="",W316="",W316&gt;21),"",HLOOKUP($O$298,Data!$D$92:$H$113,'5. Monitorer og billedkvalitet'!W316+1,FALSE))</f>
        <v/>
      </c>
      <c r="Y316" s="167" t="str">
        <f t="shared" si="19"/>
        <v/>
      </c>
      <c r="Z316" s="97" t="str">
        <f t="shared" ref="Z316:Z318" si="21">IF(OR(T316="",X316=""),"",IF(X316&lt;Y316,"IKKE OK","OK"))</f>
        <v/>
      </c>
      <c r="AA316" s="84"/>
    </row>
    <row r="317" spans="1:27" x14ac:dyDescent="0.25">
      <c r="A317" s="58">
        <v>3</v>
      </c>
      <c r="B317" s="84"/>
      <c r="C317" s="417"/>
      <c r="D317" s="418"/>
      <c r="E317" s="84"/>
      <c r="F317" s="84"/>
      <c r="G317" s="84"/>
      <c r="H317" s="84"/>
      <c r="I317" s="84"/>
      <c r="J317" s="166" t="str">
        <f>IF(OR($A$298="",I317="",I317&gt;21),"",HLOOKUP($A$298,Data!$D$92:$H$113,'5. Monitorer og billedkvalitet'!I317+1,FALSE))</f>
        <v/>
      </c>
      <c r="K317" s="167" t="str">
        <f t="shared" ref="K317" si="22">IF(OR(F317="",J317=""),"",IF(F317&gt;30.1,1,IF(AND(F317&gt;24,F317&lt;30.1),1.4,IF(AND(F317&gt;18,F317&lt;24.1),1.6,IF(AND(F317&gt;15,F317&lt;18.1),1.8,2)))))</f>
        <v/>
      </c>
      <c r="L317" s="97" t="str">
        <f t="shared" ref="L317" si="23">IF(OR(F317="",J317=""),"",IF(J317&lt;K317,"IKKE OK","OK"))</f>
        <v/>
      </c>
      <c r="M317" s="84"/>
      <c r="O317" s="58">
        <v>3</v>
      </c>
      <c r="P317" s="84"/>
      <c r="Q317" s="417"/>
      <c r="R317" s="418"/>
      <c r="S317" s="84"/>
      <c r="T317" s="84"/>
      <c r="U317" s="84"/>
      <c r="V317" s="84"/>
      <c r="W317" s="84"/>
      <c r="X317" s="166" t="str">
        <f>IF(OR($O$298="",W317="",W317&gt;21),"",HLOOKUP($O$298,Data!$D$92:$H$113,'5. Monitorer og billedkvalitet'!W317+1,FALSE))</f>
        <v/>
      </c>
      <c r="Y317" s="167" t="str">
        <f t="shared" si="19"/>
        <v/>
      </c>
      <c r="Z317" s="97" t="str">
        <f t="shared" si="21"/>
        <v/>
      </c>
      <c r="AA317" s="84"/>
    </row>
    <row r="318" spans="1:27" x14ac:dyDescent="0.25">
      <c r="A318" s="58">
        <v>4</v>
      </c>
      <c r="B318" s="84"/>
      <c r="C318" s="417"/>
      <c r="D318" s="418"/>
      <c r="E318" s="84"/>
      <c r="F318" s="84"/>
      <c r="G318" s="84"/>
      <c r="H318" s="84"/>
      <c r="I318" s="84"/>
      <c r="J318" s="166" t="str">
        <f>IF(OR($A$298="",I318="",I318&gt;21),"",HLOOKUP($A$298,Data!$D$92:$H$113,'5. Monitorer og billedkvalitet'!I318+1,FALSE))</f>
        <v/>
      </c>
      <c r="K318" s="167" t="str">
        <f t="shared" si="18"/>
        <v/>
      </c>
      <c r="L318" s="97" t="str">
        <f t="shared" si="20"/>
        <v/>
      </c>
      <c r="M318" s="84"/>
      <c r="O318" s="58">
        <v>4</v>
      </c>
      <c r="P318" s="84"/>
      <c r="Q318" s="417"/>
      <c r="R318" s="418"/>
      <c r="S318" s="84"/>
      <c r="T318" s="84"/>
      <c r="U318" s="84"/>
      <c r="V318" s="84"/>
      <c r="W318" s="84"/>
      <c r="X318" s="166" t="str">
        <f>IF(OR($O$298="",W318="",W318&gt;21),"",HLOOKUP($O$298,Data!$D$92:$H$113,'5. Monitorer og billedkvalitet'!W318+1,FALSE))</f>
        <v/>
      </c>
      <c r="Y318" s="167" t="str">
        <f t="shared" si="19"/>
        <v/>
      </c>
      <c r="Z318" s="97" t="str">
        <f t="shared" si="21"/>
        <v/>
      </c>
      <c r="AA318" s="84"/>
    </row>
    <row r="319" spans="1:27" x14ac:dyDescent="0.25">
      <c r="A319" s="58">
        <v>5</v>
      </c>
      <c r="B319" s="84"/>
      <c r="C319" s="417"/>
      <c r="D319" s="418"/>
      <c r="E319" s="84"/>
      <c r="F319" s="84"/>
      <c r="G319" s="84"/>
      <c r="H319" s="84"/>
      <c r="I319" s="84"/>
      <c r="J319" s="166" t="str">
        <f>IF(OR($A$298="",I319="",I319&gt;21),"",HLOOKUP($A$298,Data!$D$92:$H$113,'5. Monitorer og billedkvalitet'!I319+1,FALSE))</f>
        <v/>
      </c>
      <c r="K319" s="167" t="str">
        <f t="shared" ref="K319:K322" si="24">IF(OR(F319="",J319=""),"",IF(F319&gt;30.1,1,IF(AND(F319&gt;24,F319&lt;30.1),1.4,IF(AND(F319&gt;18,F319&lt;24.1),1.6,IF(AND(F319&gt;15,F319&lt;18.1),1.8,2)))))</f>
        <v/>
      </c>
      <c r="L319" s="97" t="str">
        <f>IF(OR(F319="",J319=""),"",IF(J319&lt;K319,"IKKE OK","OK"))</f>
        <v/>
      </c>
      <c r="M319" s="84"/>
      <c r="O319" s="58">
        <v>5</v>
      </c>
      <c r="P319" s="84"/>
      <c r="Q319" s="417"/>
      <c r="R319" s="418"/>
      <c r="S319" s="84"/>
      <c r="T319" s="84"/>
      <c r="U319" s="84"/>
      <c r="V319" s="84"/>
      <c r="W319" s="84"/>
      <c r="X319" s="166" t="str">
        <f>IF(OR($O$298="",W319="",W319&gt;21),"",HLOOKUP($O$298,Data!$D$92:$H$113,'5. Monitorer og billedkvalitet'!W319+1,FALSE))</f>
        <v/>
      </c>
      <c r="Y319" s="167" t="str">
        <f t="shared" si="19"/>
        <v/>
      </c>
      <c r="Z319" s="97" t="str">
        <f>IF(OR(T319="",X319=""),"",IF(X319&lt;Y319,"IKKE OK","OK"))</f>
        <v/>
      </c>
      <c r="AA319" s="84"/>
    </row>
    <row r="320" spans="1:27" x14ac:dyDescent="0.25">
      <c r="A320" s="58">
        <v>6</v>
      </c>
      <c r="B320" s="84"/>
      <c r="C320" s="417"/>
      <c r="D320" s="418"/>
      <c r="E320" s="84"/>
      <c r="F320" s="84"/>
      <c r="G320" s="84"/>
      <c r="H320" s="84"/>
      <c r="I320" s="84"/>
      <c r="J320" s="166" t="str">
        <f>IF(OR($A$298="",I320="",I320&gt;21),"",HLOOKUP($A$298,Data!$D$92:$H$113,'5. Monitorer og billedkvalitet'!I320+1,FALSE))</f>
        <v/>
      </c>
      <c r="K320" s="167" t="str">
        <f t="shared" si="24"/>
        <v/>
      </c>
      <c r="L320" s="97" t="str">
        <f t="shared" ref="L320:L322" si="25">IF(OR(F320="",J320=""),"",IF(J320&lt;K320,"IKKE OK","OK"))</f>
        <v/>
      </c>
      <c r="M320" s="84"/>
      <c r="O320" s="58">
        <v>6</v>
      </c>
      <c r="P320" s="84"/>
      <c r="Q320" s="417"/>
      <c r="R320" s="418"/>
      <c r="S320" s="84"/>
      <c r="T320" s="84"/>
      <c r="U320" s="84"/>
      <c r="V320" s="84"/>
      <c r="W320" s="84"/>
      <c r="X320" s="166" t="str">
        <f>IF(OR($O$298="",W320="",W320&gt;21),"",HLOOKUP($O$298,Data!$D$92:$H$113,'5. Monitorer og billedkvalitet'!W320+1,FALSE))</f>
        <v/>
      </c>
      <c r="Y320" s="167" t="str">
        <f t="shared" si="19"/>
        <v/>
      </c>
      <c r="Z320" s="97" t="str">
        <f t="shared" ref="Z320:Z322" si="26">IF(OR(T320="",X320=""),"",IF(X320&lt;Y320,"IKKE OK","OK"))</f>
        <v/>
      </c>
      <c r="AA320" s="84"/>
    </row>
    <row r="321" spans="1:27" x14ac:dyDescent="0.25">
      <c r="A321" s="58">
        <v>7</v>
      </c>
      <c r="B321" s="84"/>
      <c r="C321" s="417"/>
      <c r="D321" s="418"/>
      <c r="E321" s="84"/>
      <c r="F321" s="84"/>
      <c r="G321" s="84"/>
      <c r="H321" s="84"/>
      <c r="I321" s="84"/>
      <c r="J321" s="166" t="str">
        <f>IF(OR($A$298="",I321="",I321&gt;21),"",HLOOKUP($A$298,Data!$D$92:$H$113,'5. Monitorer og billedkvalitet'!I321+1,FALSE))</f>
        <v/>
      </c>
      <c r="K321" s="167" t="str">
        <f t="shared" si="24"/>
        <v/>
      </c>
      <c r="L321" s="97" t="str">
        <f t="shared" si="25"/>
        <v/>
      </c>
      <c r="M321" s="84"/>
      <c r="O321" s="58">
        <v>7</v>
      </c>
      <c r="P321" s="84"/>
      <c r="Q321" s="417"/>
      <c r="R321" s="418"/>
      <c r="S321" s="84"/>
      <c r="T321" s="84"/>
      <c r="U321" s="84"/>
      <c r="V321" s="84"/>
      <c r="W321" s="84"/>
      <c r="X321" s="166" t="str">
        <f>IF(OR($O$298="",W321="",W321&gt;21),"",HLOOKUP($O$298,Data!$D$92:$H$113,'5. Monitorer og billedkvalitet'!W321+1,FALSE))</f>
        <v/>
      </c>
      <c r="Y321" s="167" t="str">
        <f t="shared" si="19"/>
        <v/>
      </c>
      <c r="Z321" s="97" t="str">
        <f t="shared" si="26"/>
        <v/>
      </c>
      <c r="AA321" s="84"/>
    </row>
    <row r="322" spans="1:27" x14ac:dyDescent="0.25">
      <c r="A322" s="58">
        <v>8</v>
      </c>
      <c r="B322" s="84"/>
      <c r="C322" s="417"/>
      <c r="D322" s="418"/>
      <c r="E322" s="84"/>
      <c r="F322" s="84"/>
      <c r="G322" s="84"/>
      <c r="H322" s="84"/>
      <c r="I322" s="84"/>
      <c r="J322" s="166" t="str">
        <f>IF(OR($A$298="",I322="",I322&gt;21),"",HLOOKUP($A$298,Data!$D$92:$H$113,'5. Monitorer og billedkvalitet'!I322+1,FALSE))</f>
        <v/>
      </c>
      <c r="K322" s="167" t="str">
        <f t="shared" si="24"/>
        <v/>
      </c>
      <c r="L322" s="97" t="str">
        <f t="shared" si="25"/>
        <v/>
      </c>
      <c r="M322" s="84"/>
      <c r="O322" s="58">
        <v>8</v>
      </c>
      <c r="P322" s="84"/>
      <c r="Q322" s="417"/>
      <c r="R322" s="418"/>
      <c r="S322" s="84"/>
      <c r="T322" s="84"/>
      <c r="U322" s="84"/>
      <c r="V322" s="84"/>
      <c r="W322" s="84"/>
      <c r="X322" s="166" t="str">
        <f>IF(OR($O$298="",W322="",W322&gt;21),"",HLOOKUP($O$298,Data!$D$92:$H$113,'5. Monitorer og billedkvalitet'!W322+1,FALSE))</f>
        <v/>
      </c>
      <c r="Y322" s="167" t="str">
        <f t="shared" si="19"/>
        <v/>
      </c>
      <c r="Z322" s="97" t="str">
        <f t="shared" si="26"/>
        <v/>
      </c>
      <c r="AA322" s="84"/>
    </row>
    <row r="325" spans="1:27" ht="18.75" x14ac:dyDescent="0.3">
      <c r="A325" s="43" t="s">
        <v>367</v>
      </c>
      <c r="B325" s="45"/>
      <c r="C325" s="45"/>
      <c r="D325" s="45"/>
      <c r="E325" s="45"/>
      <c r="F325" s="43"/>
      <c r="G325" s="43" t="s">
        <v>632</v>
      </c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51"/>
    </row>
    <row r="327" spans="1:27" x14ac:dyDescent="0.25">
      <c r="A327" s="46" t="s">
        <v>272</v>
      </c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68" t="s">
        <v>90</v>
      </c>
      <c r="M327" s="47"/>
      <c r="N327" s="47"/>
      <c r="O327" s="47"/>
      <c r="P327" s="47"/>
      <c r="Q327" s="47"/>
    </row>
    <row r="328" spans="1:27" x14ac:dyDescent="0.25">
      <c r="A328" s="48" t="s">
        <v>40</v>
      </c>
      <c r="B328" s="49" t="s">
        <v>66</v>
      </c>
      <c r="C328" s="49"/>
      <c r="D328" s="49"/>
      <c r="E328" s="49"/>
      <c r="F328" s="49"/>
      <c r="G328" s="49"/>
      <c r="H328" s="49"/>
      <c r="I328" s="49"/>
      <c r="J328" s="49"/>
      <c r="K328" s="264"/>
      <c r="L328" s="453"/>
      <c r="M328" s="454"/>
      <c r="N328" s="454"/>
      <c r="O328" s="454"/>
      <c r="P328" s="454"/>
      <c r="Q328" s="455"/>
    </row>
    <row r="329" spans="1:27" x14ac:dyDescent="0.25">
      <c r="A329" s="50" t="s">
        <v>646</v>
      </c>
      <c r="B329" s="51" t="s">
        <v>347</v>
      </c>
      <c r="C329" s="51"/>
      <c r="D329" s="51"/>
      <c r="E329" s="51"/>
      <c r="F329" s="51"/>
      <c r="G329" s="51"/>
      <c r="H329" s="51"/>
      <c r="I329" s="51"/>
      <c r="J329" s="51"/>
      <c r="K329" s="82"/>
      <c r="L329" s="441"/>
      <c r="M329" s="442"/>
      <c r="N329" s="442"/>
      <c r="O329" s="442"/>
      <c r="P329" s="442"/>
      <c r="Q329" s="443"/>
    </row>
    <row r="330" spans="1:27" x14ac:dyDescent="0.25">
      <c r="A330" s="50" t="s">
        <v>639</v>
      </c>
      <c r="B330" s="51" t="s">
        <v>547</v>
      </c>
      <c r="C330" s="51"/>
      <c r="D330" s="51"/>
      <c r="E330" s="51"/>
      <c r="F330" s="51"/>
      <c r="G330" s="51"/>
      <c r="H330" s="51"/>
      <c r="I330" s="51"/>
      <c r="J330" s="51"/>
      <c r="K330" s="82"/>
      <c r="L330" s="441"/>
      <c r="M330" s="442"/>
      <c r="N330" s="442"/>
      <c r="O330" s="442"/>
      <c r="P330" s="442"/>
      <c r="Q330" s="443"/>
    </row>
    <row r="331" spans="1:27" x14ac:dyDescent="0.25">
      <c r="A331" s="50"/>
      <c r="B331" s="51" t="s">
        <v>271</v>
      </c>
      <c r="C331" s="51"/>
      <c r="D331" s="51"/>
      <c r="E331" s="51"/>
      <c r="F331" s="51"/>
      <c r="G331" s="51"/>
      <c r="H331" s="51"/>
      <c r="I331" s="51"/>
      <c r="J331" s="51"/>
      <c r="K331" s="82"/>
      <c r="L331" s="441"/>
      <c r="M331" s="442"/>
      <c r="N331" s="442"/>
      <c r="O331" s="442"/>
      <c r="P331" s="442"/>
      <c r="Q331" s="443"/>
    </row>
    <row r="332" spans="1:27" x14ac:dyDescent="0.25">
      <c r="A332" s="50"/>
      <c r="B332" s="51" t="s">
        <v>548</v>
      </c>
      <c r="C332" s="51"/>
      <c r="D332" s="51"/>
      <c r="E332" s="51"/>
      <c r="F332" s="51"/>
      <c r="G332" s="51"/>
      <c r="H332" s="51"/>
      <c r="I332" s="51"/>
      <c r="J332" s="51"/>
      <c r="K332" s="82"/>
      <c r="L332" s="441"/>
      <c r="M332" s="442"/>
      <c r="N332" s="442"/>
      <c r="O332" s="442"/>
      <c r="P332" s="442"/>
      <c r="Q332" s="443"/>
    </row>
    <row r="333" spans="1:27" x14ac:dyDescent="0.25">
      <c r="A333" s="50"/>
      <c r="B333" s="51" t="s">
        <v>348</v>
      </c>
      <c r="C333" s="51"/>
      <c r="D333" s="51"/>
      <c r="E333" s="51"/>
      <c r="F333" s="51"/>
      <c r="G333" s="51"/>
      <c r="H333" s="51"/>
      <c r="I333" s="51"/>
      <c r="J333" s="51"/>
      <c r="K333" s="82"/>
      <c r="L333" s="441"/>
      <c r="M333" s="442"/>
      <c r="N333" s="442"/>
      <c r="O333" s="442"/>
      <c r="P333" s="442"/>
      <c r="Q333" s="443"/>
    </row>
    <row r="334" spans="1:27" x14ac:dyDescent="0.25">
      <c r="A334" s="50" t="s">
        <v>41</v>
      </c>
      <c r="B334" s="51" t="s">
        <v>106</v>
      </c>
      <c r="C334" s="51"/>
      <c r="D334" s="51"/>
      <c r="E334" s="51"/>
      <c r="F334" s="51"/>
      <c r="G334" s="51"/>
      <c r="H334" s="51"/>
      <c r="I334" s="51"/>
      <c r="J334" s="51"/>
      <c r="K334" s="82"/>
      <c r="L334" s="441"/>
      <c r="M334" s="442"/>
      <c r="N334" s="442"/>
      <c r="O334" s="442"/>
      <c r="P334" s="442"/>
      <c r="Q334" s="443"/>
    </row>
    <row r="335" spans="1:27" x14ac:dyDescent="0.25">
      <c r="A335" s="50"/>
      <c r="B335" s="51"/>
      <c r="C335" s="51"/>
      <c r="D335" s="51"/>
      <c r="E335" s="51"/>
      <c r="F335" s="51"/>
      <c r="G335" s="51"/>
      <c r="H335" s="51"/>
      <c r="I335" s="51"/>
      <c r="J335" s="51"/>
      <c r="K335" s="82"/>
      <c r="L335" s="441"/>
      <c r="M335" s="442"/>
      <c r="N335" s="442"/>
      <c r="O335" s="442"/>
      <c r="P335" s="442"/>
      <c r="Q335" s="443"/>
    </row>
    <row r="336" spans="1:27" x14ac:dyDescent="0.25">
      <c r="A336" s="50"/>
      <c r="B336" s="51"/>
      <c r="C336" s="51"/>
      <c r="D336" s="51"/>
      <c r="E336" s="51"/>
      <c r="F336" s="51"/>
      <c r="G336" s="51"/>
      <c r="H336" s="51"/>
      <c r="I336" s="51"/>
      <c r="J336" s="51"/>
      <c r="K336" s="82"/>
      <c r="L336" s="441"/>
      <c r="M336" s="442"/>
      <c r="N336" s="442"/>
      <c r="O336" s="442"/>
      <c r="P336" s="442"/>
      <c r="Q336" s="443"/>
    </row>
    <row r="337" spans="1:17" x14ac:dyDescent="0.25">
      <c r="A337" s="50"/>
      <c r="B337" s="51"/>
      <c r="C337" s="51"/>
      <c r="D337" s="51"/>
      <c r="E337" s="51"/>
      <c r="F337" s="51"/>
      <c r="G337" s="51"/>
      <c r="H337" s="51"/>
      <c r="I337" s="51"/>
      <c r="J337" s="51"/>
      <c r="K337" s="82"/>
      <c r="L337" s="441"/>
      <c r="M337" s="442"/>
      <c r="N337" s="442"/>
      <c r="O337" s="442"/>
      <c r="P337" s="442"/>
      <c r="Q337" s="443"/>
    </row>
    <row r="338" spans="1:17" x14ac:dyDescent="0.25">
      <c r="A338" s="50"/>
      <c r="B338" s="51"/>
      <c r="C338" s="51"/>
      <c r="D338" s="51"/>
      <c r="E338" s="51"/>
      <c r="F338" s="51"/>
      <c r="G338" s="51"/>
      <c r="H338" s="51"/>
      <c r="I338" s="51"/>
      <c r="J338" s="51"/>
      <c r="K338" s="82"/>
      <c r="L338" s="441"/>
      <c r="M338" s="442"/>
      <c r="N338" s="442"/>
      <c r="O338" s="442"/>
      <c r="P338" s="442"/>
      <c r="Q338" s="443"/>
    </row>
    <row r="339" spans="1:17" x14ac:dyDescent="0.25">
      <c r="A339" s="50"/>
      <c r="B339" s="51"/>
      <c r="C339" s="51"/>
      <c r="D339" s="51"/>
      <c r="E339" s="51"/>
      <c r="F339" s="51"/>
      <c r="G339" s="51"/>
      <c r="H339" s="51"/>
      <c r="I339" s="51"/>
      <c r="J339" s="51"/>
      <c r="K339" s="82"/>
      <c r="L339" s="441"/>
      <c r="M339" s="442"/>
      <c r="N339" s="442"/>
      <c r="O339" s="442"/>
      <c r="P339" s="442"/>
      <c r="Q339" s="443"/>
    </row>
    <row r="340" spans="1:17" x14ac:dyDescent="0.25">
      <c r="A340" s="50"/>
      <c r="B340" s="51"/>
      <c r="C340" s="51"/>
      <c r="D340" s="51"/>
      <c r="E340" s="51"/>
      <c r="F340" s="51"/>
      <c r="G340" s="51"/>
      <c r="H340" s="51"/>
      <c r="I340" s="51"/>
      <c r="J340" s="51"/>
      <c r="K340" s="82"/>
      <c r="L340" s="441"/>
      <c r="M340" s="442"/>
      <c r="N340" s="442"/>
      <c r="O340" s="442"/>
      <c r="P340" s="442"/>
      <c r="Q340" s="443"/>
    </row>
    <row r="341" spans="1:17" x14ac:dyDescent="0.25">
      <c r="A341" s="50"/>
      <c r="B341" s="51"/>
      <c r="C341" s="51"/>
      <c r="D341" s="51"/>
      <c r="E341" s="51"/>
      <c r="F341" s="51"/>
      <c r="G341" s="51"/>
      <c r="H341" s="51"/>
      <c r="I341" s="51"/>
      <c r="J341" s="51"/>
      <c r="K341" s="82"/>
      <c r="L341" s="441"/>
      <c r="M341" s="442"/>
      <c r="N341" s="442"/>
      <c r="O341" s="442"/>
      <c r="P341" s="442"/>
      <c r="Q341" s="443"/>
    </row>
    <row r="342" spans="1:17" x14ac:dyDescent="0.25">
      <c r="A342" s="50"/>
      <c r="B342" s="51"/>
      <c r="C342" s="51"/>
      <c r="D342" s="51"/>
      <c r="E342" s="51"/>
      <c r="F342" s="51"/>
      <c r="G342" s="51"/>
      <c r="H342" s="51"/>
      <c r="I342" s="51"/>
      <c r="J342" s="51"/>
      <c r="K342" s="82"/>
      <c r="L342" s="441"/>
      <c r="M342" s="442"/>
      <c r="N342" s="442"/>
      <c r="O342" s="442"/>
      <c r="P342" s="442"/>
      <c r="Q342" s="443"/>
    </row>
    <row r="343" spans="1:17" x14ac:dyDescent="0.25">
      <c r="A343" s="50"/>
      <c r="B343" s="51"/>
      <c r="C343" s="51"/>
      <c r="D343" s="51"/>
      <c r="E343" s="51"/>
      <c r="F343" s="51"/>
      <c r="G343" s="51"/>
      <c r="H343" s="51"/>
      <c r="I343" s="51"/>
      <c r="J343" s="51"/>
      <c r="K343" s="82"/>
      <c r="L343" s="441"/>
      <c r="M343" s="442"/>
      <c r="N343" s="442"/>
      <c r="O343" s="442"/>
      <c r="P343" s="442"/>
      <c r="Q343" s="443"/>
    </row>
    <row r="344" spans="1:17" x14ac:dyDescent="0.25">
      <c r="A344" s="50"/>
      <c r="B344" s="51"/>
      <c r="C344" s="51"/>
      <c r="D344" s="51"/>
      <c r="E344" s="51"/>
      <c r="F344" s="51"/>
      <c r="G344" s="51"/>
      <c r="H344" s="51"/>
      <c r="I344" s="51"/>
      <c r="J344" s="51"/>
      <c r="K344" s="82"/>
      <c r="L344" s="441"/>
      <c r="M344" s="442"/>
      <c r="N344" s="442"/>
      <c r="O344" s="442"/>
      <c r="P344" s="442"/>
      <c r="Q344" s="443"/>
    </row>
    <row r="345" spans="1:17" x14ac:dyDescent="0.25">
      <c r="A345" s="50"/>
      <c r="B345" s="51"/>
      <c r="C345" s="51"/>
      <c r="D345" s="51"/>
      <c r="E345" s="51"/>
      <c r="F345" s="51"/>
      <c r="G345" s="51"/>
      <c r="H345" s="51"/>
      <c r="I345" s="51"/>
      <c r="J345" s="51"/>
      <c r="K345" s="82"/>
      <c r="L345" s="441"/>
      <c r="M345" s="442"/>
      <c r="N345" s="442"/>
      <c r="O345" s="442"/>
      <c r="P345" s="442"/>
      <c r="Q345" s="443"/>
    </row>
    <row r="346" spans="1:17" x14ac:dyDescent="0.25">
      <c r="A346" s="50"/>
      <c r="B346" s="51" t="s">
        <v>631</v>
      </c>
      <c r="C346" s="51"/>
      <c r="D346" s="51"/>
      <c r="E346" s="51"/>
      <c r="F346" s="51"/>
      <c r="G346" s="51"/>
      <c r="H346" s="51"/>
      <c r="I346" s="51"/>
      <c r="J346" s="51"/>
      <c r="K346" s="82"/>
      <c r="L346" s="441"/>
      <c r="M346" s="442"/>
      <c r="N346" s="442"/>
      <c r="O346" s="442"/>
      <c r="P346" s="442"/>
      <c r="Q346" s="443"/>
    </row>
    <row r="347" spans="1:17" x14ac:dyDescent="0.25">
      <c r="A347" s="242"/>
      <c r="B347" s="168"/>
      <c r="C347" s="72"/>
      <c r="D347" s="72"/>
      <c r="E347" s="72"/>
      <c r="F347" s="72"/>
      <c r="G347" s="72"/>
      <c r="H347" s="72"/>
      <c r="I347" s="72"/>
      <c r="J347" s="72"/>
      <c r="K347" s="83"/>
      <c r="L347" s="444"/>
      <c r="M347" s="445"/>
      <c r="N347" s="445"/>
      <c r="O347" s="445"/>
      <c r="P347" s="445"/>
      <c r="Q347" s="446"/>
    </row>
    <row r="348" spans="1:17" x14ac:dyDescent="0.25">
      <c r="A348" s="240" t="s">
        <v>659</v>
      </c>
      <c r="B348" s="216" t="s">
        <v>660</v>
      </c>
      <c r="C348" s="49"/>
      <c r="D348" s="49"/>
      <c r="E348" s="49"/>
      <c r="F348" s="49"/>
      <c r="G348" s="49"/>
      <c r="H348" s="49"/>
      <c r="I348" s="49"/>
      <c r="J348" s="49"/>
      <c r="K348" s="373" t="s">
        <v>684</v>
      </c>
      <c r="L348" s="200"/>
      <c r="M348" s="382"/>
      <c r="N348" s="382"/>
      <c r="O348" s="382"/>
      <c r="P348" s="382"/>
      <c r="Q348" s="383"/>
    </row>
    <row r="349" spans="1:17" x14ac:dyDescent="0.25">
      <c r="A349" s="242"/>
      <c r="B349" s="168" t="s">
        <v>661</v>
      </c>
      <c r="C349" s="72"/>
      <c r="D349" s="72"/>
      <c r="E349" s="72"/>
      <c r="F349" s="72"/>
      <c r="G349" s="72"/>
      <c r="H349" s="72"/>
      <c r="I349" s="72"/>
      <c r="J349" s="72"/>
      <c r="K349" s="374" t="s">
        <v>662</v>
      </c>
      <c r="L349" s="444"/>
      <c r="M349" s="445"/>
      <c r="N349" s="445"/>
      <c r="O349" s="445"/>
      <c r="P349" s="445"/>
      <c r="Q349" s="446"/>
    </row>
    <row r="350" spans="1:17" x14ac:dyDescent="0.25">
      <c r="A350" s="51"/>
      <c r="I350" s="44"/>
      <c r="J350" s="44"/>
      <c r="K350" s="44"/>
      <c r="L350" s="44"/>
      <c r="M350" s="44"/>
      <c r="N350" s="44"/>
      <c r="O350" s="44"/>
      <c r="P350" s="51"/>
      <c r="Q350" s="51"/>
    </row>
    <row r="351" spans="1:17" x14ac:dyDescent="0.25">
      <c r="A351" s="53" t="s">
        <v>368</v>
      </c>
      <c r="B351" s="54"/>
      <c r="C351" s="54"/>
      <c r="D351" s="54"/>
      <c r="E351" s="54"/>
      <c r="F351" s="54"/>
      <c r="G351" s="54"/>
      <c r="H351" s="54"/>
      <c r="I351" s="54"/>
      <c r="J351" s="54"/>
      <c r="K351" s="54"/>
      <c r="L351" s="54"/>
      <c r="M351" s="54"/>
      <c r="N351" s="54"/>
      <c r="O351" s="54"/>
      <c r="P351" s="54"/>
      <c r="Q351" s="54"/>
    </row>
    <row r="352" spans="1:17" x14ac:dyDescent="0.25">
      <c r="A352" s="121"/>
      <c r="B352" s="51"/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</row>
    <row r="353" spans="1:12" x14ac:dyDescent="0.25">
      <c r="A353" s="123"/>
      <c r="B353" s="216" t="s">
        <v>372</v>
      </c>
      <c r="C353" s="216"/>
      <c r="D353" s="216"/>
      <c r="E353" s="216"/>
      <c r="F353" s="216"/>
      <c r="G353" s="237"/>
      <c r="H353" s="216"/>
      <c r="I353" s="217"/>
      <c r="L353" s="213"/>
    </row>
    <row r="354" spans="1:12" x14ac:dyDescent="0.25">
      <c r="A354" s="198"/>
      <c r="B354" s="215" t="s">
        <v>365</v>
      </c>
      <c r="C354" s="215"/>
      <c r="D354" s="215"/>
      <c r="E354" s="215"/>
      <c r="F354" s="215"/>
      <c r="G354" s="219"/>
      <c r="H354" s="215"/>
      <c r="I354" s="226"/>
    </row>
    <row r="355" spans="1:12" x14ac:dyDescent="0.25">
      <c r="A355" s="408"/>
      <c r="B355" s="168"/>
      <c r="C355" s="168"/>
      <c r="D355" s="168"/>
      <c r="E355" s="168"/>
      <c r="F355" s="168"/>
      <c r="G355" s="169"/>
      <c r="H355" s="168"/>
      <c r="I355" s="232"/>
    </row>
    <row r="356" spans="1:12" x14ac:dyDescent="0.25">
      <c r="A356" s="55" t="s">
        <v>42</v>
      </c>
      <c r="B356" s="55" t="s">
        <v>105</v>
      </c>
      <c r="C356" s="181" t="s">
        <v>275</v>
      </c>
      <c r="D356" s="183"/>
      <c r="E356" s="55" t="s">
        <v>46</v>
      </c>
      <c r="F356" s="55" t="s">
        <v>53</v>
      </c>
      <c r="G356" s="55" t="s">
        <v>44</v>
      </c>
      <c r="H356" s="55" t="s">
        <v>45</v>
      </c>
      <c r="I356" s="55" t="s">
        <v>114</v>
      </c>
    </row>
    <row r="357" spans="1:12" x14ac:dyDescent="0.25">
      <c r="A357" s="56"/>
      <c r="B357" s="56"/>
      <c r="C357" s="175"/>
      <c r="D357" s="176"/>
      <c r="E357" s="56" t="s">
        <v>48</v>
      </c>
      <c r="F357" s="56" t="s">
        <v>54</v>
      </c>
      <c r="G357" s="56"/>
      <c r="H357" s="56"/>
      <c r="I357" s="57" t="s">
        <v>103</v>
      </c>
    </row>
    <row r="358" spans="1:12" x14ac:dyDescent="0.25">
      <c r="A358" s="58">
        <v>1</v>
      </c>
      <c r="B358" s="84"/>
      <c r="C358" s="417"/>
      <c r="D358" s="418"/>
      <c r="E358" s="84"/>
      <c r="F358" s="84"/>
      <c r="G358" s="84"/>
      <c r="H358" s="84"/>
      <c r="I358" s="84"/>
    </row>
  </sheetData>
  <sheetProtection sheet="1" objects="1" scenarios="1"/>
  <mergeCells count="283">
    <mergeCell ref="C358:D358"/>
    <mergeCell ref="O1:P1"/>
    <mergeCell ref="O2:P2"/>
    <mergeCell ref="O3:P3"/>
    <mergeCell ref="O4:P4"/>
    <mergeCell ref="O5:P5"/>
    <mergeCell ref="C1:E1"/>
    <mergeCell ref="C2:E2"/>
    <mergeCell ref="C3:E3"/>
    <mergeCell ref="C4:E4"/>
    <mergeCell ref="C5:E5"/>
    <mergeCell ref="I1:K1"/>
    <mergeCell ref="I2:K2"/>
    <mergeCell ref="I3:K3"/>
    <mergeCell ref="I4:K4"/>
    <mergeCell ref="I5:K5"/>
    <mergeCell ref="L252:Q252"/>
    <mergeCell ref="L347:Q347"/>
    <mergeCell ref="L328:Q328"/>
    <mergeCell ref="L55:Q55"/>
    <mergeCell ref="L155:Q155"/>
    <mergeCell ref="L177:Q177"/>
    <mergeCell ref="L218:Q218"/>
    <mergeCell ref="L219:Q219"/>
    <mergeCell ref="L220:Q220"/>
    <mergeCell ref="L221:Q221"/>
    <mergeCell ref="L223:Q223"/>
    <mergeCell ref="L259:Q259"/>
    <mergeCell ref="L260:Q260"/>
    <mergeCell ref="L261:Q261"/>
    <mergeCell ref="L262:Q262"/>
    <mergeCell ref="L263:Q263"/>
    <mergeCell ref="L264:Q264"/>
    <mergeCell ref="L265:Q265"/>
    <mergeCell ref="E65:I65"/>
    <mergeCell ref="J65:P65"/>
    <mergeCell ref="L56:Q56"/>
    <mergeCell ref="L103:Q103"/>
    <mergeCell ref="L122:Q122"/>
    <mergeCell ref="L105:Q105"/>
    <mergeCell ref="L101:Q101"/>
    <mergeCell ref="L102:Q102"/>
    <mergeCell ref="L13:Q13"/>
    <mergeCell ref="L191:Q191"/>
    <mergeCell ref="L192:Q192"/>
    <mergeCell ref="L193:Q193"/>
    <mergeCell ref="L194:Q194"/>
    <mergeCell ref="L195:Q195"/>
    <mergeCell ref="L80:Q80"/>
    <mergeCell ref="L81:Q81"/>
    <mergeCell ref="L82:Q82"/>
    <mergeCell ref="L58:Q58"/>
    <mergeCell ref="L87:Q87"/>
    <mergeCell ref="L88:Q88"/>
    <mergeCell ref="L89:Q89"/>
    <mergeCell ref="L90:Q90"/>
    <mergeCell ref="L91:Q91"/>
    <mergeCell ref="L92:Q92"/>
    <mergeCell ref="L93:Q93"/>
    <mergeCell ref="L94:Q94"/>
    <mergeCell ref="L95:Q95"/>
    <mergeCell ref="L96:Q96"/>
    <mergeCell ref="L97:Q97"/>
    <mergeCell ref="L98:Q98"/>
    <mergeCell ref="L99:Q99"/>
    <mergeCell ref="L100:Q100"/>
    <mergeCell ref="L182:Q182"/>
    <mergeCell ref="L183:Q183"/>
    <mergeCell ref="L184:Q184"/>
    <mergeCell ref="L185:Q185"/>
    <mergeCell ref="L186:Q186"/>
    <mergeCell ref="L187:Q187"/>
    <mergeCell ref="L188:Q188"/>
    <mergeCell ref="L189:Q189"/>
    <mergeCell ref="L190:Q190"/>
    <mergeCell ref="C305:D305"/>
    <mergeCell ref="C306:D306"/>
    <mergeCell ref="C307:D307"/>
    <mergeCell ref="C308:D308"/>
    <mergeCell ref="C309:D309"/>
    <mergeCell ref="C310:D310"/>
    <mergeCell ref="C311:D311"/>
    <mergeCell ref="Q315:R315"/>
    <mergeCell ref="Q316:R316"/>
    <mergeCell ref="Q305:R305"/>
    <mergeCell ref="Q306:R306"/>
    <mergeCell ref="Q307:R307"/>
    <mergeCell ref="Q308:R308"/>
    <mergeCell ref="Q309:R309"/>
    <mergeCell ref="Q310:R310"/>
    <mergeCell ref="Q311:R311"/>
    <mergeCell ref="C115:D115"/>
    <mergeCell ref="C116:D116"/>
    <mergeCell ref="C168:D168"/>
    <mergeCell ref="C169:D169"/>
    <mergeCell ref="C170:D170"/>
    <mergeCell ref="C171:D171"/>
    <mergeCell ref="C243:D243"/>
    <mergeCell ref="C244:D244"/>
    <mergeCell ref="C245:D245"/>
    <mergeCell ref="L349:Q349"/>
    <mergeCell ref="C246:D246"/>
    <mergeCell ref="C236:D236"/>
    <mergeCell ref="C237:D237"/>
    <mergeCell ref="C238:D238"/>
    <mergeCell ref="C239:D239"/>
    <mergeCell ref="R243:S243"/>
    <mergeCell ref="R244:S244"/>
    <mergeCell ref="R245:S245"/>
    <mergeCell ref="R246:S246"/>
    <mergeCell ref="R236:S236"/>
    <mergeCell ref="R237:S237"/>
    <mergeCell ref="R238:S238"/>
    <mergeCell ref="R239:S239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L258:Q258"/>
    <mergeCell ref="C304:D304"/>
    <mergeCell ref="L14:Q14"/>
    <mergeCell ref="L15:Q15"/>
    <mergeCell ref="L16:Q16"/>
    <mergeCell ref="L17:Q17"/>
    <mergeCell ref="L18:Q18"/>
    <mergeCell ref="L19:Q19"/>
    <mergeCell ref="L20:Q20"/>
    <mergeCell ref="L21:Q21"/>
    <mergeCell ref="L22:Q22"/>
    <mergeCell ref="L23:Q23"/>
    <mergeCell ref="L24:Q24"/>
    <mergeCell ref="L25:Q25"/>
    <mergeCell ref="L26:Q26"/>
    <mergeCell ref="L27:Q27"/>
    <mergeCell ref="L28:Q28"/>
    <mergeCell ref="L29:Q29"/>
    <mergeCell ref="L30:Q30"/>
    <mergeCell ref="L31:Q31"/>
    <mergeCell ref="L32:Q32"/>
    <mergeCell ref="L33:Q33"/>
    <mergeCell ref="L34:Q34"/>
    <mergeCell ref="L35:Q35"/>
    <mergeCell ref="L36:Q36"/>
    <mergeCell ref="L37:Q37"/>
    <mergeCell ref="L38:Q38"/>
    <mergeCell ref="L39:Q39"/>
    <mergeCell ref="L40:Q40"/>
    <mergeCell ref="L41:Q41"/>
    <mergeCell ref="L42:Q42"/>
    <mergeCell ref="L43:Q43"/>
    <mergeCell ref="L44:Q44"/>
    <mergeCell ref="L45:Q45"/>
    <mergeCell ref="L46:Q46"/>
    <mergeCell ref="L47:Q47"/>
    <mergeCell ref="L48:Q48"/>
    <mergeCell ref="L49:Q49"/>
    <mergeCell ref="L50:Q50"/>
    <mergeCell ref="L51:Q51"/>
    <mergeCell ref="L52:Q52"/>
    <mergeCell ref="L53:Q53"/>
    <mergeCell ref="L54:Q54"/>
    <mergeCell ref="L83:Q83"/>
    <mergeCell ref="L84:Q84"/>
    <mergeCell ref="L85:Q85"/>
    <mergeCell ref="L86:Q86"/>
    <mergeCell ref="L123:Q123"/>
    <mergeCell ref="L124:Q124"/>
    <mergeCell ref="L125:Q125"/>
    <mergeCell ref="L126:Q126"/>
    <mergeCell ref="L127:Q127"/>
    <mergeCell ref="L128:Q128"/>
    <mergeCell ref="L129:Q129"/>
    <mergeCell ref="L130:Q130"/>
    <mergeCell ref="L131:Q131"/>
    <mergeCell ref="L132:Q132"/>
    <mergeCell ref="L133:Q133"/>
    <mergeCell ref="L134:Q134"/>
    <mergeCell ref="L135:Q135"/>
    <mergeCell ref="L136:Q136"/>
    <mergeCell ref="L137:Q137"/>
    <mergeCell ref="L138:Q138"/>
    <mergeCell ref="L139:Q139"/>
    <mergeCell ref="L140:Q140"/>
    <mergeCell ref="L141:Q141"/>
    <mergeCell ref="L142:Q142"/>
    <mergeCell ref="L143:Q143"/>
    <mergeCell ref="L144:Q144"/>
    <mergeCell ref="L145:Q145"/>
    <mergeCell ref="L146:Q146"/>
    <mergeCell ref="L147:Q147"/>
    <mergeCell ref="L148:Q148"/>
    <mergeCell ref="L149:Q149"/>
    <mergeCell ref="L150:Q150"/>
    <mergeCell ref="L151:Q151"/>
    <mergeCell ref="L152:Q152"/>
    <mergeCell ref="L153:Q153"/>
    <mergeCell ref="L154:Q154"/>
    <mergeCell ref="L178:Q178"/>
    <mergeCell ref="L179:Q179"/>
    <mergeCell ref="L180:Q180"/>
    <mergeCell ref="L181:Q181"/>
    <mergeCell ref="L157:Q157"/>
    <mergeCell ref="L196:Q196"/>
    <mergeCell ref="L197:Q197"/>
    <mergeCell ref="L198:Q198"/>
    <mergeCell ref="L199:Q199"/>
    <mergeCell ref="L200:Q200"/>
    <mergeCell ref="L201:Q201"/>
    <mergeCell ref="L202:Q202"/>
    <mergeCell ref="L203:Q203"/>
    <mergeCell ref="L204:Q204"/>
    <mergeCell ref="L205:Q205"/>
    <mergeCell ref="L206:Q206"/>
    <mergeCell ref="L207:Q207"/>
    <mergeCell ref="L208:Q208"/>
    <mergeCell ref="L209:Q209"/>
    <mergeCell ref="L210:Q210"/>
    <mergeCell ref="L211:Q211"/>
    <mergeCell ref="L212:Q212"/>
    <mergeCell ref="L213:Q213"/>
    <mergeCell ref="L214:Q214"/>
    <mergeCell ref="L215:Q215"/>
    <mergeCell ref="L216:Q216"/>
    <mergeCell ref="L217:Q217"/>
    <mergeCell ref="L253:Q253"/>
    <mergeCell ref="L254:Q254"/>
    <mergeCell ref="L255:Q255"/>
    <mergeCell ref="L256:Q256"/>
    <mergeCell ref="L257:Q257"/>
    <mergeCell ref="L266:Q266"/>
    <mergeCell ref="L267:Q267"/>
    <mergeCell ref="L268:Q268"/>
    <mergeCell ref="L269:Q269"/>
    <mergeCell ref="L270:Q270"/>
    <mergeCell ref="L271:Q271"/>
    <mergeCell ref="L272:Q272"/>
    <mergeCell ref="L273:Q273"/>
    <mergeCell ref="L274:Q274"/>
    <mergeCell ref="L275:Q275"/>
    <mergeCell ref="L276:Q276"/>
    <mergeCell ref="L277:Q277"/>
    <mergeCell ref="L278:Q278"/>
    <mergeCell ref="L279:Q279"/>
    <mergeCell ref="L280:Q280"/>
    <mergeCell ref="L281:Q281"/>
    <mergeCell ref="L282:Q282"/>
    <mergeCell ref="L283:Q283"/>
    <mergeCell ref="L284:Q284"/>
    <mergeCell ref="L285:Q285"/>
    <mergeCell ref="L286:Q286"/>
    <mergeCell ref="L287:Q287"/>
    <mergeCell ref="L288:Q288"/>
    <mergeCell ref="L289:Q289"/>
    <mergeCell ref="L330:Q330"/>
    <mergeCell ref="L331:Q331"/>
    <mergeCell ref="L332:Q332"/>
    <mergeCell ref="L291:Q291"/>
    <mergeCell ref="Q317:R317"/>
    <mergeCell ref="Q318:R318"/>
    <mergeCell ref="Q319:R319"/>
    <mergeCell ref="Q320:R320"/>
    <mergeCell ref="Q321:R321"/>
    <mergeCell ref="Q322:R322"/>
    <mergeCell ref="Q304:R304"/>
    <mergeCell ref="L329:Q329"/>
    <mergeCell ref="L342:Q342"/>
    <mergeCell ref="L343:Q343"/>
    <mergeCell ref="L344:Q344"/>
    <mergeCell ref="L345:Q345"/>
    <mergeCell ref="L346:Q346"/>
    <mergeCell ref="L333:Q333"/>
    <mergeCell ref="L334:Q334"/>
    <mergeCell ref="L335:Q335"/>
    <mergeCell ref="L336:Q336"/>
    <mergeCell ref="L337:Q337"/>
    <mergeCell ref="L338:Q338"/>
    <mergeCell ref="L339:Q339"/>
    <mergeCell ref="L340:Q340"/>
    <mergeCell ref="L341:Q341"/>
  </mergeCells>
  <conditionalFormatting sqref="H69:I74">
    <cfRule type="cellIs" dxfId="75" priority="46" operator="equal">
      <formula>"OK"</formula>
    </cfRule>
    <cfRule type="cellIs" dxfId="74" priority="47" operator="equal">
      <formula>"IKKE OK"</formula>
    </cfRule>
  </conditionalFormatting>
  <conditionalFormatting sqref="I115:I116">
    <cfRule type="cellIs" dxfId="73" priority="10" operator="equal">
      <formula>"nej"</formula>
    </cfRule>
    <cfRule type="cellIs" dxfId="72" priority="11" operator="equal">
      <formula>"ja"</formula>
    </cfRule>
  </conditionalFormatting>
  <conditionalFormatting sqref="I168:I171">
    <cfRule type="cellIs" dxfId="71" priority="119" operator="equal">
      <formula>"OK"</formula>
    </cfRule>
    <cfRule type="cellIs" dxfId="70" priority="122" operator="equal">
      <formula>"IKKE OK"</formula>
    </cfRule>
  </conditionalFormatting>
  <conditionalFormatting sqref="I358">
    <cfRule type="cellIs" dxfId="69" priority="103" operator="equal">
      <formula>"ja"</formula>
    </cfRule>
    <cfRule type="cellIs" dxfId="68" priority="104" operator="equal">
      <formula>"nej"</formula>
    </cfRule>
  </conditionalFormatting>
  <conditionalFormatting sqref="J115:J116">
    <cfRule type="cellIs" dxfId="67" priority="141" operator="equal">
      <formula>"IKKE OK"</formula>
    </cfRule>
    <cfRule type="cellIs" dxfId="66" priority="129" operator="equal">
      <formula>"OK"</formula>
    </cfRule>
  </conditionalFormatting>
  <conditionalFormatting sqref="J168:J171">
    <cfRule type="cellIs" dxfId="65" priority="117" operator="equal">
      <formula>"ja"</formula>
    </cfRule>
    <cfRule type="cellIs" dxfId="64" priority="118" operator="equal">
      <formula>"nej"</formula>
    </cfRule>
  </conditionalFormatting>
  <conditionalFormatting sqref="K69:K74">
    <cfRule type="cellIs" dxfId="63" priority="71" operator="equal">
      <formula>"nej"</formula>
    </cfRule>
    <cfRule type="cellIs" dxfId="62" priority="72" operator="equal">
      <formula>"ja"</formula>
    </cfRule>
  </conditionalFormatting>
  <conditionalFormatting sqref="K115:K116">
    <cfRule type="cellIs" dxfId="61" priority="128" operator="equal">
      <formula>"nej"</formula>
    </cfRule>
    <cfRule type="cellIs" dxfId="60" priority="127" operator="equal">
      <formula>"ja"</formula>
    </cfRule>
  </conditionalFormatting>
  <conditionalFormatting sqref="K236:K239">
    <cfRule type="cellIs" dxfId="59" priority="91" operator="equal">
      <formula>"OK"</formula>
    </cfRule>
    <cfRule type="cellIs" dxfId="58" priority="90" operator="equal">
      <formula>"IKKE OK"</formula>
    </cfRule>
  </conditionalFormatting>
  <conditionalFormatting sqref="K243:K246">
    <cfRule type="cellIs" dxfId="57" priority="85" operator="equal">
      <formula>"OK"</formula>
    </cfRule>
    <cfRule type="cellIs" dxfId="56" priority="84" operator="equal">
      <formula>"IKKE OK"</formula>
    </cfRule>
  </conditionalFormatting>
  <conditionalFormatting sqref="L69:L74">
    <cfRule type="cellIs" dxfId="55" priority="70" operator="equal">
      <formula>"OK"</formula>
    </cfRule>
    <cfRule type="cellIs" dxfId="54" priority="73" operator="equal">
      <formula>"IKKE OK"</formula>
    </cfRule>
  </conditionalFormatting>
  <conditionalFormatting sqref="L236:L239">
    <cfRule type="cellIs" dxfId="51" priority="95" operator="equal">
      <formula>"nej"</formula>
    </cfRule>
    <cfRule type="cellIs" dxfId="50" priority="94" operator="equal">
      <formula>"ja"</formula>
    </cfRule>
  </conditionalFormatting>
  <conditionalFormatting sqref="L243:L246">
    <cfRule type="cellIs" dxfId="49" priority="43" operator="equal">
      <formula>"ja"</formula>
    </cfRule>
    <cfRule type="cellIs" dxfId="48" priority="44" operator="equal">
      <formula>"nej"</formula>
    </cfRule>
    <cfRule type="cellIs" dxfId="47" priority="42" operator="equal">
      <formula>"n/a"</formula>
    </cfRule>
  </conditionalFormatting>
  <conditionalFormatting sqref="L304:L311">
    <cfRule type="cellIs" dxfId="46" priority="79" operator="equal">
      <formula>"OK"</formula>
    </cfRule>
    <cfRule type="cellIs" dxfId="45" priority="78" operator="equal">
      <formula>"IKKE OK"</formula>
    </cfRule>
  </conditionalFormatting>
  <conditionalFormatting sqref="L315:L322">
    <cfRule type="cellIs" dxfId="44" priority="74" operator="equal">
      <formula>"IKKE OK"</formula>
    </cfRule>
    <cfRule type="cellIs" dxfId="43" priority="75" operator="equal">
      <formula>"OK"</formula>
    </cfRule>
  </conditionalFormatting>
  <conditionalFormatting sqref="M69:M74">
    <cfRule type="cellIs" dxfId="42" priority="68" operator="equal">
      <formula>"ja"</formula>
    </cfRule>
    <cfRule type="cellIs" dxfId="41" priority="69" operator="equal">
      <formula>"nej"</formula>
    </cfRule>
  </conditionalFormatting>
  <conditionalFormatting sqref="M168:M171">
    <cfRule type="cellIs" dxfId="40" priority="112" operator="equal">
      <formula>"nej"</formula>
    </cfRule>
    <cfRule type="cellIs" dxfId="39" priority="113" operator="equal">
      <formula>"ja"</formula>
    </cfRule>
  </conditionalFormatting>
  <conditionalFormatting sqref="M304:M311">
    <cfRule type="cellIs" dxfId="37" priority="82" operator="equal">
      <formula>"ja"</formula>
    </cfRule>
    <cfRule type="cellIs" dxfId="36" priority="83" operator="equal">
      <formula>"nej"</formula>
    </cfRule>
  </conditionalFormatting>
  <conditionalFormatting sqref="M315:M322">
    <cfRule type="cellIs" dxfId="35" priority="80" operator="equal">
      <formula>"ja"</formula>
    </cfRule>
    <cfRule type="cellIs" dxfId="34" priority="81" operator="equal">
      <formula>"nej"</formula>
    </cfRule>
  </conditionalFormatting>
  <conditionalFormatting sqref="N168:N171">
    <cfRule type="cellIs" dxfId="33" priority="114" operator="equal">
      <formula>"IKKE OK"</formula>
    </cfRule>
    <cfRule type="cellIs" dxfId="32" priority="111" operator="equal">
      <formula>"OK"</formula>
    </cfRule>
  </conditionalFormatting>
  <conditionalFormatting sqref="N236:N239">
    <cfRule type="cellIs" dxfId="30" priority="3" operator="between">
      <formula>-2</formula>
      <formula>5</formula>
    </cfRule>
    <cfRule type="cellIs" dxfId="29" priority="4" operator="between">
      <formula>-5</formula>
      <formula>-2</formula>
    </cfRule>
  </conditionalFormatting>
  <conditionalFormatting sqref="N243:N246">
    <cfRule type="cellIs" dxfId="28" priority="2" operator="between">
      <formula>-5</formula>
      <formula>-2</formula>
    </cfRule>
    <cfRule type="cellIs" dxfId="27" priority="1" operator="between">
      <formula>-2</formula>
      <formula>5</formula>
    </cfRule>
  </conditionalFormatting>
  <conditionalFormatting sqref="O69:O74">
    <cfRule type="cellIs" dxfId="26" priority="5" operator="between">
      <formula>30</formula>
      <formula>100</formula>
    </cfRule>
    <cfRule type="cellIs" dxfId="25" priority="7" operator="lessThanOrEqual">
      <formula>30</formula>
    </cfRule>
  </conditionalFormatting>
  <conditionalFormatting sqref="O168:O171">
    <cfRule type="cellIs" dxfId="24" priority="109" operator="equal">
      <formula>"ja"</formula>
    </cfRule>
    <cfRule type="cellIs" dxfId="23" priority="110" operator="equal">
      <formula>"nej"</formula>
    </cfRule>
  </conditionalFormatting>
  <conditionalFormatting sqref="P69:P74">
    <cfRule type="cellIs" dxfId="21" priority="53" operator="equal">
      <formula>"IKKE OK"</formula>
    </cfRule>
    <cfRule type="cellIs" dxfId="20" priority="52" operator="equal">
      <formula>"OK"</formula>
    </cfRule>
  </conditionalFormatting>
  <conditionalFormatting sqref="Q69:Q74">
    <cfRule type="cellIs" dxfId="18" priority="50" operator="equal">
      <formula>"nej"</formula>
    </cfRule>
    <cfRule type="cellIs" dxfId="17" priority="51" operator="equal">
      <formula>"ja"</formula>
    </cfRule>
  </conditionalFormatting>
  <conditionalFormatting sqref="Z236:Z239">
    <cfRule type="cellIs" dxfId="16" priority="33" operator="equal">
      <formula>"OK"</formula>
    </cfRule>
    <cfRule type="cellIs" dxfId="15" priority="32" operator="equal">
      <formula>"IKKE OK"</formula>
    </cfRule>
  </conditionalFormatting>
  <conditionalFormatting sqref="Z243:Z246">
    <cfRule type="cellIs" dxfId="14" priority="31" operator="equal">
      <formula>"OK"</formula>
    </cfRule>
    <cfRule type="cellIs" dxfId="13" priority="30" operator="equal">
      <formula>"IKKE OK"</formula>
    </cfRule>
  </conditionalFormatting>
  <conditionalFormatting sqref="Z304:Z311">
    <cfRule type="cellIs" dxfId="12" priority="19" operator="equal">
      <formula>"OK"</formula>
    </cfRule>
    <cfRule type="cellIs" dxfId="11" priority="18" operator="equal">
      <formula>"IKKE OK"</formula>
    </cfRule>
  </conditionalFormatting>
  <conditionalFormatting sqref="Z315:Z322">
    <cfRule type="cellIs" dxfId="10" priority="17" operator="equal">
      <formula>"OK"</formula>
    </cfRule>
    <cfRule type="cellIs" dxfId="9" priority="16" operator="equal">
      <formula>"IKKE OK"</formula>
    </cfRule>
  </conditionalFormatting>
  <conditionalFormatting sqref="AA236:AA239">
    <cfRule type="cellIs" dxfId="8" priority="35" operator="equal">
      <formula>"nej"</formula>
    </cfRule>
    <cfRule type="cellIs" dxfId="7" priority="34" operator="equal">
      <formula>"ja"</formula>
    </cfRule>
  </conditionalFormatting>
  <conditionalFormatting sqref="AA243:AA246">
    <cfRule type="cellIs" dxfId="6" priority="29" operator="equal">
      <formula>"nej"</formula>
    </cfRule>
    <cfRule type="cellIs" dxfId="5" priority="28" operator="equal">
      <formula>"ja"</formula>
    </cfRule>
    <cfRule type="cellIs" dxfId="4" priority="27" operator="equal">
      <formula>"n/a"</formula>
    </cfRule>
  </conditionalFormatting>
  <conditionalFormatting sqref="AA304:AA311">
    <cfRule type="cellIs" dxfId="3" priority="23" operator="equal">
      <formula>"nej"</formula>
    </cfRule>
    <cfRule type="cellIs" dxfId="2" priority="22" operator="equal">
      <formula>"ja"</formula>
    </cfRule>
  </conditionalFormatting>
  <conditionalFormatting sqref="AA315:AA322">
    <cfRule type="cellIs" dxfId="1" priority="21" operator="equal">
      <formula>"nej"</formula>
    </cfRule>
    <cfRule type="cellIs" dxfId="0" priority="20" operator="equal">
      <formula>"ja"</formula>
    </cfRule>
  </conditionalFormatting>
  <pageMargins left="0.7" right="0.7" top="0.75" bottom="0.75" header="0.3" footer="0.3"/>
  <pageSetup paperSize="9" orientation="portrait" r:id="rId1"/>
  <ignoredErrors>
    <ignoredError sqref="O4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8B5A77AE-E837-42DC-9E56-F683907DE604}">
            <xm:f>OR(Oplysningsside!$B$15="C bue",Oplysningsside!$B$15="Mini C bue",Oplysningsside!$B$15="Intervention",Oplysningsside!$B$15="R/F system")</xm:f>
            <x14:dxf>
              <font>
                <color theme="0"/>
              </font>
              <fill>
                <patternFill>
                  <bgColor theme="0" tint="-4.9989318521683403E-2"/>
                </patternFill>
              </fill>
              <border>
                <left style="thin">
                  <color auto="1"/>
                </left>
                <right/>
                <top/>
                <bottom style="thin">
                  <color auto="1"/>
                </bottom>
                <vertical/>
                <horizontal/>
              </border>
            </x14:dxf>
          </x14:cfRule>
          <xm:sqref>B232</xm:sqref>
        </x14:conditionalFormatting>
        <x14:conditionalFormatting xmlns:xm="http://schemas.microsoft.com/office/excel/2006/main">
          <x14:cfRule type="expression" priority="14" id="{9F405BDD-7CA7-4A48-ABC5-10366ADD73BC}">
            <xm:f>OR(Oplysningsside!$B$15="C bue",Oplysningsside!$B$15="Mini C bue",Oplysningsside!$B$15="Intervention",Oplysningsside!$B$15="R/F system")</xm:f>
            <x14:dxf>
              <font>
                <color theme="0"/>
              </font>
              <fill>
                <patternFill>
                  <bgColor theme="0" tint="-4.9989318521683403E-2"/>
                </patternFill>
              </fill>
              <border>
                <left style="thin">
                  <color auto="1"/>
                </left>
                <right/>
                <top/>
                <bottom style="thin">
                  <color auto="1"/>
                </bottom>
                <vertical/>
                <horizontal/>
              </border>
            </x14:dxf>
          </x14:cfRule>
          <xm:sqref>B300</xm:sqref>
        </x14:conditionalFormatting>
        <x14:conditionalFormatting xmlns:xm="http://schemas.microsoft.com/office/excel/2006/main">
          <x14:cfRule type="expression" priority="37" id="{7111AEA2-4C7A-464A-A3DC-9F535B3EC741}">
            <xm:f>OR(Oplysningsside!$B$15="C bue",Oplysningsside!$B$15="Mini C bue",Oplysningsside!$B$15="Intervention",Oplysningsside!$B$15="R/F system")</xm:f>
            <x14:dxf>
              <font>
                <color theme="0"/>
              </font>
              <fill>
                <patternFill patternType="solid">
                  <bgColor theme="0" tint="-4.9989318521683403E-2"/>
                </patternFill>
              </fill>
              <border>
                <left style="thin">
                  <color auto="1"/>
                </left>
                <right/>
                <top/>
                <bottom/>
              </border>
            </x14:dxf>
          </x14:cfRule>
          <xm:sqref>L109:L116</xm:sqref>
        </x14:conditionalFormatting>
        <x14:conditionalFormatting xmlns:xm="http://schemas.microsoft.com/office/excel/2006/main">
          <x14:cfRule type="expression" priority="38" id="{97D0DA7A-C6F0-4937-8BAA-5F45A3392B2F}">
            <xm:f>OR(Oplysningsside!$B$15="C bue",Oplysningsside!$B$15="Intervention",Oplysningsside!$B$15="Bi-plan",Oplysningsside!$B$15="R/F system")</xm:f>
            <x14:dxf>
              <font>
                <color theme="0"/>
              </font>
              <fill>
                <patternFill patternType="solid">
                  <bgColor theme="0" tint="-4.9989318521683403E-2"/>
                </patternFill>
              </fill>
              <border>
                <left/>
                <right style="thin">
                  <color auto="1"/>
                </right>
                <top/>
                <bottom style="thin">
                  <color auto="1"/>
                </bottom>
                <vertical/>
                <horizontal/>
              </border>
            </x14:dxf>
          </x14:cfRule>
          <xm:sqref>L232</xm:sqref>
        </x14:conditionalFormatting>
        <x14:conditionalFormatting xmlns:xm="http://schemas.microsoft.com/office/excel/2006/main">
          <x14:cfRule type="expression" priority="40" id="{4229E703-D417-44AA-B43F-805F9BFF0C77}">
            <xm:f>OR(Oplysningsside!$B$15="C bue",Oplysningsside!$B$15="Intervention",Oplysningsside!$B$15="Bi-plan",Oplysningsside!$B$15="R/F system")</xm:f>
            <x14:dxf>
              <font>
                <color theme="0"/>
              </font>
              <fill>
                <patternFill patternType="solid">
                  <bgColor theme="0" tint="-4.9989318521683403E-2"/>
                </patternFill>
              </fill>
              <border>
                <left style="thin">
                  <color auto="1"/>
                </left>
                <right/>
                <top/>
                <bottom/>
                <vertical/>
                <horizontal/>
              </border>
            </x14:dxf>
          </x14:cfRule>
          <xm:sqref>M227:M246</xm:sqref>
        </x14:conditionalFormatting>
        <x14:conditionalFormatting xmlns:xm="http://schemas.microsoft.com/office/excel/2006/main">
          <x14:cfRule type="expression" priority="39" id="{4718DA17-4B00-4AAF-819D-DBB176F684AC}">
            <xm:f>OR(Oplysningsside!$B$15="C bue",Oplysningsside!$B$15="Intervention",Oplysningsside!$B$15="Bi-plan",Oplysningsside!$B$15="R/F system")</xm:f>
            <x14:dxf>
              <font>
                <color theme="0"/>
              </font>
              <fill>
                <patternFill patternType="solid">
                  <bgColor theme="0" tint="-4.9989318521683403E-2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N227:N246</xm:sqref>
        </x14:conditionalFormatting>
        <x14:conditionalFormatting xmlns:xm="http://schemas.microsoft.com/office/excel/2006/main">
          <x14:cfRule type="expression" priority="15" id="{AEBAA79C-F1B6-4EAB-9E5F-44AEC9C9AFBC}">
            <xm:f>OR(Oplysningsside!$B$15="C bue",Oplysningsside!$B$15="Mini C bue",Oplysningsside!$B$15="Intervention",Oplysningsside!$B$15="R/F system")</xm:f>
            <x14:dxf>
              <font>
                <color theme="0"/>
              </font>
              <fill>
                <patternFill>
                  <bgColor theme="0" tint="-4.9989318521683403E-2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O295:AA322</xm:sqref>
        </x14:conditionalFormatting>
        <x14:conditionalFormatting xmlns:xm="http://schemas.microsoft.com/office/excel/2006/main">
          <x14:cfRule type="expression" priority="24" id="{E40AADF2-EC66-40FC-B79C-7E839E0B4DC4}">
            <xm:f>OR(Oplysningsside!$B$15="C bue",Oplysningsside!$B$15="Mini C bue",Oplysningsside!$B$15="Intervention",Oplysningsside!$B$15="R/F system")</xm:f>
            <x14:dxf>
              <font>
                <color theme="0"/>
              </font>
              <fill>
                <patternFill>
                  <bgColor theme="0" tint="-4.9989318521683403E-2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P227:AA246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48A97E75-F823-4031-A9CA-95A84218D947}">
          <x14:formula1>
            <xm:f>Data!$A$5:$A$8</xm:f>
          </x14:formula1>
          <xm:sqref>I115:I116 AA304:AA311 AA315:AA322 O296 AA236:AA239 AA243:AA246 P228 Q69:Q74 M304:M311 M315:M322 A296 L236:L239 L243:L246 A228 I358 O168:O171 M168:M171 A161 K115:K116 A109</xm:sqref>
        </x14:dataValidation>
        <x14:dataValidation type="list" allowBlank="1" showDropDown="1" showInputMessage="1" showErrorMessage="1" xr:uid="{E15F9E87-AE2B-4A4F-BD12-BD18A01E3927}">
          <x14:formula1>
            <xm:f>Data!$F$5:$F$10</xm:f>
          </x14:formula1>
          <xm:sqref>A227 O295 P227 A295</xm:sqref>
        </x14:dataValidation>
        <x14:dataValidation type="list" allowBlank="1" showInputMessage="1" showErrorMessage="1" xr:uid="{74778912-C16F-4E9E-BBF0-BFD5EF352965}">
          <x14:formula1>
            <xm:f>Data!$A$10:$A$13</xm:f>
          </x14:formula1>
          <xm:sqref>P69:P74</xm:sqref>
        </x14:dataValidation>
        <x14:dataValidation type="list" allowBlank="1" showInputMessage="1" showErrorMessage="1" xr:uid="{D09A5A0E-C50B-4C35-9FCA-05AA75D97615}">
          <x14:formula1>
            <xm:f>Data!$A$10:$A$14</xm:f>
          </x14:formula1>
          <xm:sqref>I168:I171 J115:J116</xm:sqref>
        </x14:dataValidation>
        <x14:dataValidation type="list" allowBlank="1" showInputMessage="1" showErrorMessage="1" xr:uid="{61A6F105-EB94-46AB-8ACE-C5C18C547C6D}">
          <x14:formula1>
            <xm:f>Data!$A$10:$A$26</xm:f>
          </x14:formula1>
          <xm:sqref>N168:N171</xm:sqref>
        </x14:dataValidation>
        <x14:dataValidation type="list" allowBlank="1" showInputMessage="1" showErrorMessage="1" xr:uid="{305F6444-A64A-4ECB-9BF0-9348667E6C47}">
          <x14:formula1>
            <xm:f>Data!$I$14:$I$16</xm:f>
          </x14:formula1>
          <xm:sqref>A62</xm:sqref>
        </x14:dataValidation>
        <x14:dataValidation type="list" allowBlank="1" showInputMessage="1" showErrorMessage="1" xr:uid="{441C511B-E6B0-4BEE-95D1-6F98E67FE479}">
          <x14:formula1>
            <xm:f>Data!$M$10:$M$15</xm:f>
          </x14:formula1>
          <xm:sqref>A298 O298 P230 A230 A354 A163</xm:sqref>
        </x14:dataValidation>
        <x14:dataValidation type="list" allowBlank="1" showDropDown="1" showInputMessage="1" showErrorMessage="1" xr:uid="{3FC56ED5-D3CC-424A-B798-0C9B98D2E7C2}">
          <x14:formula1>
            <xm:f>Data!$M$10:$M$15</xm:f>
          </x14:formula1>
          <xm:sqref>A231 P231</xm:sqref>
        </x14:dataValidation>
        <x14:dataValidation type="list" allowBlank="1" showInputMessage="1" showErrorMessage="1" xr:uid="{1389F310-9730-44BA-B73E-BDC5F2A8CC21}">
          <x14:formula1>
            <xm:f>Data!$A$5:$A$7</xm:f>
          </x14:formula1>
          <xm:sqref>L57 L104 L156 L222 L290 L348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78D5E-8081-402C-8C72-E8B24005CC9A}">
  <sheetPr>
    <tabColor rgb="FF92D050"/>
  </sheetPr>
  <dimension ref="A1:W90"/>
  <sheetViews>
    <sheetView topLeftCell="A7" zoomScaleNormal="100" workbookViewId="0">
      <selection activeCell="T28" sqref="T28"/>
    </sheetView>
  </sheetViews>
  <sheetFormatPr defaultColWidth="9.140625" defaultRowHeight="15" x14ac:dyDescent="0.25"/>
  <cols>
    <col min="1" max="1" width="15.5703125" style="170" customWidth="1"/>
    <col min="2" max="7" width="9.140625" style="170"/>
    <col min="8" max="8" width="28" style="170" customWidth="1"/>
    <col min="9" max="14" width="9.140625" style="170"/>
    <col min="15" max="15" width="11.7109375" style="170" customWidth="1"/>
    <col min="16" max="16384" width="9.140625" style="170"/>
  </cols>
  <sheetData>
    <row r="1" spans="1:19" x14ac:dyDescent="0.25">
      <c r="A1" s="24" t="s">
        <v>1</v>
      </c>
      <c r="B1" s="25"/>
      <c r="C1" s="462" t="str">
        <f>Oplysningsside!B2</f>
        <v/>
      </c>
      <c r="D1" s="462"/>
      <c r="E1" s="462"/>
      <c r="F1" s="462"/>
      <c r="G1" s="27" t="s">
        <v>3</v>
      </c>
      <c r="H1" s="25"/>
      <c r="I1" s="462" t="str">
        <f>Oplysningsside!E2</f>
        <v/>
      </c>
      <c r="J1" s="462"/>
      <c r="K1" s="462"/>
      <c r="L1" s="462"/>
      <c r="M1" s="27" t="s">
        <v>424</v>
      </c>
      <c r="N1" s="25"/>
      <c r="O1" s="420" t="str">
        <f>Oplysningsside!G2</f>
        <v/>
      </c>
      <c r="P1" s="420"/>
      <c r="Q1" s="420"/>
      <c r="R1" s="467"/>
    </row>
    <row r="2" spans="1:19" x14ac:dyDescent="0.25">
      <c r="A2" s="29" t="s">
        <v>68</v>
      </c>
      <c r="B2" s="30"/>
      <c r="C2" s="463" t="str">
        <f>Oplysningsside!B3</f>
        <v/>
      </c>
      <c r="D2" s="463"/>
      <c r="E2" s="463"/>
      <c r="F2" s="463"/>
      <c r="G2" s="212" t="s">
        <v>125</v>
      </c>
      <c r="H2" s="212"/>
      <c r="I2" s="463" t="str">
        <f>Oplysningsside!E3</f>
        <v>Bi-plan</v>
      </c>
      <c r="J2" s="463"/>
      <c r="K2" s="463"/>
      <c r="L2" s="463"/>
      <c r="M2" s="32" t="s">
        <v>6</v>
      </c>
      <c r="N2" s="30"/>
      <c r="O2" s="468" t="str">
        <f>Oplysningsside!G3</f>
        <v/>
      </c>
      <c r="P2" s="468"/>
      <c r="Q2" s="468"/>
      <c r="R2" s="469"/>
    </row>
    <row r="3" spans="1:19" x14ac:dyDescent="0.25">
      <c r="A3" s="34" t="s">
        <v>67</v>
      </c>
      <c r="B3" s="30"/>
      <c r="C3" s="463" t="str">
        <f>Oplysningsside!B4</f>
        <v/>
      </c>
      <c r="D3" s="463"/>
      <c r="E3" s="463"/>
      <c r="F3" s="463"/>
      <c r="G3" s="32" t="s">
        <v>5</v>
      </c>
      <c r="H3" s="30"/>
      <c r="I3" s="463" t="str">
        <f>Oplysningsside!E4</f>
        <v/>
      </c>
      <c r="J3" s="463"/>
      <c r="K3" s="463"/>
      <c r="L3" s="463"/>
      <c r="M3" s="32" t="s">
        <v>8</v>
      </c>
      <c r="N3" s="30"/>
      <c r="O3" s="421" t="str">
        <f>Oplysningsside!G4</f>
        <v/>
      </c>
      <c r="P3" s="421"/>
      <c r="Q3" s="421"/>
      <c r="R3" s="470"/>
    </row>
    <row r="4" spans="1:19" x14ac:dyDescent="0.25">
      <c r="A4" s="29" t="s">
        <v>9</v>
      </c>
      <c r="B4" s="30"/>
      <c r="C4" s="464" t="str">
        <f>Oplysningsside!B5</f>
        <v/>
      </c>
      <c r="D4" s="464"/>
      <c r="E4" s="464"/>
      <c r="F4" s="464"/>
      <c r="G4" s="32" t="s">
        <v>7</v>
      </c>
      <c r="H4" s="30"/>
      <c r="I4" s="473" t="str">
        <f>Oplysningsside!E5</f>
        <v/>
      </c>
      <c r="J4" s="473"/>
      <c r="K4" s="473"/>
      <c r="L4" s="473"/>
      <c r="M4" s="30" t="s">
        <v>11</v>
      </c>
      <c r="N4" s="30"/>
      <c r="O4" s="468" t="str">
        <f>Oplysningsside!G5</f>
        <v/>
      </c>
      <c r="P4" s="468"/>
      <c r="Q4" s="468"/>
      <c r="R4" s="469"/>
    </row>
    <row r="5" spans="1:19" x14ac:dyDescent="0.25">
      <c r="A5" s="8" t="s">
        <v>517</v>
      </c>
      <c r="B5" s="35"/>
      <c r="C5" s="465" t="str">
        <f>Oplysningsside!$B$6</f>
        <v/>
      </c>
      <c r="D5" s="465"/>
      <c r="E5" s="465"/>
      <c r="F5" s="465"/>
      <c r="G5" s="9" t="s">
        <v>423</v>
      </c>
      <c r="H5" s="35"/>
      <c r="I5" s="474" t="str">
        <f>Oplysningsside!E6</f>
        <v/>
      </c>
      <c r="J5" s="474"/>
      <c r="K5" s="474"/>
      <c r="L5" s="474"/>
      <c r="M5" s="35"/>
      <c r="N5" s="35"/>
      <c r="O5" s="465"/>
      <c r="P5" s="465"/>
      <c r="Q5" s="465"/>
      <c r="R5" s="471"/>
    </row>
    <row r="7" spans="1:19" ht="26.25" x14ac:dyDescent="0.4">
      <c r="A7" s="37" t="s">
        <v>205</v>
      </c>
      <c r="B7" s="38"/>
      <c r="C7" s="38"/>
      <c r="D7" s="38"/>
      <c r="E7" s="38"/>
      <c r="F7" s="38"/>
      <c r="G7" s="38"/>
      <c r="H7" s="37" t="s">
        <v>444</v>
      </c>
      <c r="I7" s="38"/>
      <c r="J7" s="38"/>
      <c r="K7" s="38"/>
      <c r="L7" s="38"/>
      <c r="M7" s="38"/>
      <c r="N7" s="38"/>
      <c r="O7" s="40" t="s">
        <v>2</v>
      </c>
      <c r="P7" s="38"/>
      <c r="Q7" s="39"/>
      <c r="R7" s="40" t="s">
        <v>2</v>
      </c>
    </row>
    <row r="9" spans="1:19" ht="18.75" x14ac:dyDescent="0.3">
      <c r="A9" s="43" t="s">
        <v>284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</row>
    <row r="10" spans="1:19" ht="18.75" x14ac:dyDescent="0.3">
      <c r="A10" s="43" t="s">
        <v>286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51"/>
    </row>
    <row r="11" spans="1:19" ht="18.75" x14ac:dyDescent="0.3">
      <c r="A11" s="43" t="s">
        <v>549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</row>
    <row r="13" spans="1:19" x14ac:dyDescent="0.25">
      <c r="A13" s="51"/>
      <c r="I13" s="44"/>
      <c r="J13" s="44"/>
      <c r="K13" s="44"/>
      <c r="L13" s="44"/>
      <c r="M13" s="44"/>
      <c r="N13" s="44"/>
      <c r="O13" s="44"/>
      <c r="P13" s="44"/>
      <c r="Q13" s="44"/>
    </row>
    <row r="14" spans="1:19" x14ac:dyDescent="0.25">
      <c r="A14" s="51"/>
      <c r="I14" s="44"/>
      <c r="J14" s="44"/>
      <c r="K14" s="44"/>
      <c r="L14" s="44"/>
      <c r="M14" s="44"/>
      <c r="N14" s="44"/>
      <c r="O14" s="44"/>
      <c r="P14" s="44"/>
      <c r="Q14" s="44"/>
    </row>
    <row r="15" spans="1:19" x14ac:dyDescent="0.25">
      <c r="A15" s="51"/>
      <c r="I15" s="44"/>
      <c r="J15" s="44"/>
      <c r="K15" s="44"/>
      <c r="L15" s="44"/>
      <c r="M15" s="44"/>
      <c r="N15" s="44"/>
      <c r="O15" s="44"/>
      <c r="P15" s="44"/>
      <c r="Q15" s="44"/>
    </row>
    <row r="16" spans="1:19" x14ac:dyDescent="0.25">
      <c r="A16" s="51"/>
      <c r="I16" s="44"/>
      <c r="J16" s="44"/>
      <c r="K16" s="44"/>
      <c r="L16" s="44"/>
      <c r="M16" s="44"/>
      <c r="N16" s="44"/>
      <c r="O16" s="44"/>
      <c r="P16" s="44"/>
      <c r="Q16" s="44"/>
    </row>
    <row r="17" spans="1:23" x14ac:dyDescent="0.25">
      <c r="A17" s="51"/>
      <c r="I17" s="44"/>
      <c r="J17" s="44"/>
      <c r="K17" s="44"/>
      <c r="L17" s="44"/>
      <c r="M17" s="44"/>
      <c r="N17" s="44"/>
      <c r="O17" s="44"/>
      <c r="P17" s="44"/>
      <c r="Q17" s="44"/>
    </row>
    <row r="18" spans="1:23" x14ac:dyDescent="0.25">
      <c r="A18" s="51"/>
      <c r="I18" s="44"/>
      <c r="J18" s="44"/>
      <c r="K18" s="44"/>
      <c r="L18" s="44"/>
      <c r="M18" s="44"/>
      <c r="N18" s="44"/>
      <c r="O18" s="44"/>
      <c r="P18" s="44"/>
      <c r="Q18" s="44"/>
    </row>
    <row r="19" spans="1:23" x14ac:dyDescent="0.25">
      <c r="A19" s="51"/>
      <c r="I19" s="44"/>
      <c r="J19" s="44"/>
      <c r="K19" s="44"/>
      <c r="L19" s="44"/>
      <c r="M19" s="44"/>
      <c r="N19" s="44"/>
      <c r="O19" s="44"/>
      <c r="P19" s="44"/>
      <c r="Q19" s="44"/>
    </row>
    <row r="20" spans="1:23" x14ac:dyDescent="0.25">
      <c r="A20" s="51"/>
      <c r="I20" s="44"/>
      <c r="J20" s="44"/>
      <c r="K20" s="44"/>
      <c r="L20" s="44"/>
      <c r="M20" s="44"/>
      <c r="N20" s="44"/>
      <c r="O20" s="44"/>
      <c r="P20" s="44"/>
      <c r="Q20" s="44"/>
    </row>
    <row r="21" spans="1:23" x14ac:dyDescent="0.25">
      <c r="A21" s="51"/>
      <c r="I21" s="44"/>
      <c r="J21" s="44"/>
      <c r="K21" s="44"/>
      <c r="L21" s="44"/>
      <c r="M21" s="44"/>
      <c r="N21" s="44"/>
      <c r="O21" s="44"/>
      <c r="P21" s="44"/>
      <c r="Q21" s="44"/>
    </row>
    <row r="22" spans="1:23" x14ac:dyDescent="0.25">
      <c r="A22" s="51"/>
      <c r="I22" s="44"/>
      <c r="J22" s="44"/>
      <c r="K22" s="44"/>
      <c r="L22" s="44"/>
      <c r="M22" s="44"/>
      <c r="N22" s="44"/>
      <c r="O22" s="44"/>
      <c r="P22" s="44"/>
      <c r="Q22" s="44"/>
    </row>
    <row r="23" spans="1:23" x14ac:dyDescent="0.25">
      <c r="A23" s="51"/>
      <c r="I23" s="44"/>
      <c r="J23" s="44"/>
      <c r="K23" s="44"/>
      <c r="L23" s="44"/>
      <c r="M23" s="44"/>
      <c r="N23" s="44"/>
      <c r="O23" s="44"/>
      <c r="P23" s="44"/>
      <c r="Q23" s="44"/>
    </row>
    <row r="24" spans="1:23" x14ac:dyDescent="0.25">
      <c r="A24" s="53" t="s">
        <v>285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</row>
    <row r="26" spans="1:23" x14ac:dyDescent="0.25">
      <c r="I26" s="531" t="s">
        <v>130</v>
      </c>
      <c r="J26" s="531"/>
      <c r="K26" s="531"/>
    </row>
    <row r="27" spans="1:23" x14ac:dyDescent="0.25">
      <c r="A27" s="284" t="s">
        <v>206</v>
      </c>
      <c r="B27" s="285"/>
      <c r="C27" s="285"/>
      <c r="D27" s="285"/>
      <c r="E27" s="285"/>
      <c r="F27" s="285"/>
      <c r="G27" s="285"/>
      <c r="H27" s="286"/>
      <c r="I27" s="287" t="s">
        <v>65</v>
      </c>
      <c r="J27" s="287" t="s">
        <v>122</v>
      </c>
      <c r="K27" s="287" t="s">
        <v>127</v>
      </c>
      <c r="L27" s="528" t="s">
        <v>90</v>
      </c>
      <c r="M27" s="529"/>
      <c r="N27" s="529"/>
      <c r="O27" s="529"/>
      <c r="P27" s="529"/>
      <c r="Q27" s="529"/>
      <c r="R27" s="530"/>
      <c r="T27" s="51"/>
      <c r="U27" s="51"/>
      <c r="V27" s="51"/>
      <c r="W27" s="51"/>
    </row>
    <row r="28" spans="1:23" x14ac:dyDescent="0.25">
      <c r="A28" s="440" t="s">
        <v>87</v>
      </c>
      <c r="B28" s="440"/>
      <c r="C28" s="440"/>
      <c r="D28" s="440"/>
      <c r="E28" s="440"/>
      <c r="F28" s="440"/>
      <c r="G28" s="440"/>
      <c r="H28" s="518"/>
      <c r="I28" s="84"/>
      <c r="J28" s="84"/>
      <c r="K28" s="84"/>
      <c r="L28" s="417"/>
      <c r="M28" s="496"/>
      <c r="N28" s="496"/>
      <c r="O28" s="496"/>
      <c r="P28" s="496"/>
      <c r="Q28" s="496"/>
      <c r="R28" s="418"/>
      <c r="T28" s="51"/>
      <c r="U28" s="51"/>
      <c r="V28" s="51"/>
      <c r="W28" s="51"/>
    </row>
    <row r="29" spans="1:23" x14ac:dyDescent="0.25">
      <c r="A29" s="439" t="s">
        <v>167</v>
      </c>
      <c r="B29" s="440"/>
      <c r="C29" s="440"/>
      <c r="D29" s="440"/>
      <c r="E29" s="440"/>
      <c r="F29" s="440"/>
      <c r="G29" s="440"/>
      <c r="H29" s="518"/>
      <c r="I29" s="84"/>
      <c r="J29" s="84"/>
      <c r="K29" s="84"/>
      <c r="L29" s="417"/>
      <c r="M29" s="496"/>
      <c r="N29" s="496"/>
      <c r="O29" s="496"/>
      <c r="P29" s="496"/>
      <c r="Q29" s="496"/>
      <c r="R29" s="418"/>
      <c r="T29" s="51"/>
      <c r="U29" s="51"/>
      <c r="V29" s="51"/>
      <c r="W29" s="51"/>
    </row>
    <row r="30" spans="1:23" x14ac:dyDescent="0.25">
      <c r="A30" s="439" t="s">
        <v>168</v>
      </c>
      <c r="B30" s="440"/>
      <c r="C30" s="440"/>
      <c r="D30" s="440"/>
      <c r="E30" s="440"/>
      <c r="F30" s="440"/>
      <c r="G30" s="440"/>
      <c r="H30" s="518"/>
      <c r="I30" s="84"/>
      <c r="J30" s="84"/>
      <c r="K30" s="84"/>
      <c r="L30" s="417"/>
      <c r="M30" s="496"/>
      <c r="N30" s="496"/>
      <c r="O30" s="496"/>
      <c r="P30" s="496"/>
      <c r="Q30" s="496"/>
      <c r="R30" s="418"/>
      <c r="T30" s="51"/>
      <c r="U30" s="51"/>
      <c r="V30" s="51"/>
      <c r="W30" s="51"/>
    </row>
    <row r="31" spans="1:23" x14ac:dyDescent="0.25">
      <c r="A31" s="439" t="s">
        <v>88</v>
      </c>
      <c r="B31" s="440"/>
      <c r="C31" s="440"/>
      <c r="D31" s="440"/>
      <c r="E31" s="440"/>
      <c r="F31" s="440"/>
      <c r="G31" s="440"/>
      <c r="H31" s="518"/>
      <c r="I31" s="84"/>
      <c r="J31" s="84"/>
      <c r="K31" s="84"/>
      <c r="L31" s="417"/>
      <c r="M31" s="496"/>
      <c r="N31" s="496"/>
      <c r="O31" s="496"/>
      <c r="P31" s="496"/>
      <c r="Q31" s="496"/>
      <c r="R31" s="418"/>
      <c r="T31" s="51"/>
      <c r="U31" s="51"/>
      <c r="V31" s="51"/>
      <c r="W31" s="51"/>
    </row>
    <row r="32" spans="1:23" x14ac:dyDescent="0.25">
      <c r="A32" s="439" t="s">
        <v>89</v>
      </c>
      <c r="B32" s="440"/>
      <c r="C32" s="440"/>
      <c r="D32" s="440"/>
      <c r="E32" s="440"/>
      <c r="F32" s="440"/>
      <c r="G32" s="440"/>
      <c r="H32" s="518"/>
      <c r="I32" s="84"/>
      <c r="J32" s="84"/>
      <c r="K32" s="84"/>
      <c r="L32" s="417"/>
      <c r="M32" s="496"/>
      <c r="N32" s="496"/>
      <c r="O32" s="496"/>
      <c r="P32" s="496"/>
      <c r="Q32" s="496"/>
      <c r="R32" s="418"/>
      <c r="T32" s="51"/>
      <c r="U32" s="51"/>
      <c r="V32" s="51"/>
      <c r="W32" s="51"/>
    </row>
    <row r="33" spans="1:23" x14ac:dyDescent="0.25">
      <c r="A33" s="439" t="s">
        <v>169</v>
      </c>
      <c r="B33" s="440"/>
      <c r="C33" s="440"/>
      <c r="D33" s="440"/>
      <c r="E33" s="440"/>
      <c r="F33" s="440"/>
      <c r="G33" s="440"/>
      <c r="H33" s="518"/>
      <c r="I33" s="84"/>
      <c r="J33" s="84"/>
      <c r="K33" s="84"/>
      <c r="L33" s="417"/>
      <c r="M33" s="496"/>
      <c r="N33" s="496"/>
      <c r="O33" s="496"/>
      <c r="P33" s="496"/>
      <c r="Q33" s="496"/>
      <c r="R33" s="418"/>
      <c r="T33" s="51"/>
      <c r="U33" s="51"/>
      <c r="V33" s="51"/>
      <c r="W33" s="51"/>
    </row>
    <row r="34" spans="1:23" x14ac:dyDescent="0.25">
      <c r="A34" s="417"/>
      <c r="B34" s="496"/>
      <c r="C34" s="496"/>
      <c r="D34" s="496"/>
      <c r="E34" s="496"/>
      <c r="F34" s="496"/>
      <c r="G34" s="496"/>
      <c r="H34" s="418"/>
      <c r="I34" s="84"/>
      <c r="J34" s="84"/>
      <c r="K34" s="84"/>
      <c r="L34" s="417"/>
      <c r="M34" s="496"/>
      <c r="N34" s="496"/>
      <c r="O34" s="496"/>
      <c r="P34" s="496"/>
      <c r="Q34" s="496"/>
      <c r="R34" s="418"/>
      <c r="T34" s="51"/>
      <c r="U34" s="51"/>
      <c r="V34" s="51"/>
      <c r="W34" s="51"/>
    </row>
    <row r="35" spans="1:23" x14ac:dyDescent="0.25">
      <c r="A35" s="417"/>
      <c r="B35" s="496"/>
      <c r="C35" s="496"/>
      <c r="D35" s="496"/>
      <c r="E35" s="496"/>
      <c r="F35" s="496"/>
      <c r="G35" s="496"/>
      <c r="H35" s="418"/>
      <c r="I35" s="84"/>
      <c r="J35" s="84"/>
      <c r="K35" s="84"/>
      <c r="L35" s="417"/>
      <c r="M35" s="496"/>
      <c r="N35" s="496"/>
      <c r="O35" s="496"/>
      <c r="P35" s="496"/>
      <c r="Q35" s="496"/>
      <c r="R35" s="418"/>
      <c r="T35" s="51"/>
      <c r="U35" s="51"/>
      <c r="V35" s="51"/>
      <c r="W35" s="51"/>
    </row>
    <row r="36" spans="1:23" x14ac:dyDescent="0.25">
      <c r="A36" s="417"/>
      <c r="B36" s="496"/>
      <c r="C36" s="496"/>
      <c r="D36" s="496"/>
      <c r="E36" s="496"/>
      <c r="F36" s="496"/>
      <c r="G36" s="496"/>
      <c r="H36" s="418"/>
      <c r="I36" s="84"/>
      <c r="J36" s="84"/>
      <c r="K36" s="84"/>
      <c r="L36" s="417"/>
      <c r="M36" s="496"/>
      <c r="N36" s="496"/>
      <c r="O36" s="496"/>
      <c r="P36" s="496"/>
      <c r="Q36" s="496"/>
      <c r="R36" s="418"/>
      <c r="T36" s="51"/>
      <c r="U36" s="51"/>
      <c r="V36" s="51"/>
      <c r="W36" s="51"/>
    </row>
    <row r="37" spans="1:23" x14ac:dyDescent="0.25">
      <c r="A37" s="417"/>
      <c r="B37" s="496"/>
      <c r="C37" s="496"/>
      <c r="D37" s="496"/>
      <c r="E37" s="496"/>
      <c r="F37" s="496"/>
      <c r="G37" s="496"/>
      <c r="H37" s="418"/>
      <c r="I37" s="84"/>
      <c r="J37" s="84"/>
      <c r="K37" s="84"/>
      <c r="L37" s="417"/>
      <c r="M37" s="496"/>
      <c r="N37" s="496"/>
      <c r="O37" s="496"/>
      <c r="P37" s="496"/>
      <c r="Q37" s="496"/>
      <c r="R37" s="418"/>
      <c r="T37" s="51"/>
      <c r="U37" s="51"/>
      <c r="V37" s="51"/>
      <c r="W37" s="51"/>
    </row>
    <row r="38" spans="1:23" x14ac:dyDescent="0.25">
      <c r="A38" s="284" t="s">
        <v>286</v>
      </c>
      <c r="B38" s="285"/>
      <c r="C38" s="285"/>
      <c r="D38" s="285"/>
      <c r="E38" s="285"/>
      <c r="F38" s="285"/>
      <c r="G38" s="285"/>
      <c r="H38" s="286"/>
      <c r="I38" s="287" t="s">
        <v>65</v>
      </c>
      <c r="J38" s="287" t="s">
        <v>122</v>
      </c>
      <c r="K38" s="287" t="s">
        <v>127</v>
      </c>
      <c r="L38" s="528" t="s">
        <v>90</v>
      </c>
      <c r="M38" s="529"/>
      <c r="N38" s="529"/>
      <c r="O38" s="529"/>
      <c r="P38" s="529"/>
      <c r="Q38" s="529"/>
      <c r="R38" s="530"/>
      <c r="T38" s="51"/>
      <c r="U38" s="51"/>
      <c r="V38" s="51"/>
      <c r="W38" s="51"/>
    </row>
    <row r="39" spans="1:23" x14ac:dyDescent="0.25">
      <c r="A39" s="515" t="s">
        <v>170</v>
      </c>
      <c r="B39" s="516"/>
      <c r="C39" s="516"/>
      <c r="D39" s="516"/>
      <c r="E39" s="516"/>
      <c r="F39" s="516"/>
      <c r="G39" s="516"/>
      <c r="H39" s="517"/>
      <c r="I39" s="84"/>
      <c r="J39" s="84"/>
      <c r="K39" s="84"/>
      <c r="L39" s="417"/>
      <c r="M39" s="496"/>
      <c r="N39" s="496"/>
      <c r="O39" s="496"/>
      <c r="P39" s="496"/>
      <c r="Q39" s="496"/>
      <c r="R39" s="418"/>
      <c r="T39" s="219"/>
      <c r="U39" s="219"/>
      <c r="V39" s="219"/>
      <c r="W39" s="51"/>
    </row>
    <row r="40" spans="1:23" x14ac:dyDescent="0.25">
      <c r="A40" s="512" t="s">
        <v>171</v>
      </c>
      <c r="B40" s="513"/>
      <c r="C40" s="513"/>
      <c r="D40" s="513"/>
      <c r="E40" s="513"/>
      <c r="F40" s="513"/>
      <c r="G40" s="513"/>
      <c r="H40" s="514"/>
      <c r="I40" s="84"/>
      <c r="J40" s="84"/>
      <c r="K40" s="84"/>
      <c r="L40" s="417"/>
      <c r="M40" s="496"/>
      <c r="N40" s="496"/>
      <c r="O40" s="496"/>
      <c r="P40" s="496"/>
      <c r="Q40" s="496"/>
      <c r="R40" s="418"/>
      <c r="T40" s="219"/>
      <c r="U40" s="219"/>
      <c r="V40" s="219"/>
      <c r="W40" s="51"/>
    </row>
    <row r="41" spans="1:23" x14ac:dyDescent="0.25">
      <c r="A41" s="512" t="s">
        <v>172</v>
      </c>
      <c r="B41" s="513"/>
      <c r="C41" s="513"/>
      <c r="D41" s="513"/>
      <c r="E41" s="513"/>
      <c r="F41" s="513"/>
      <c r="G41" s="513"/>
      <c r="H41" s="514"/>
      <c r="I41" s="84"/>
      <c r="J41" s="84"/>
      <c r="K41" s="84"/>
      <c r="L41" s="417"/>
      <c r="M41" s="496"/>
      <c r="N41" s="496"/>
      <c r="O41" s="496"/>
      <c r="P41" s="496"/>
      <c r="Q41" s="496"/>
      <c r="R41" s="418"/>
      <c r="T41" s="219"/>
      <c r="U41" s="219"/>
      <c r="V41" s="219"/>
      <c r="W41" s="51"/>
    </row>
    <row r="42" spans="1:23" x14ac:dyDescent="0.25">
      <c r="A42" s="512" t="s">
        <v>173</v>
      </c>
      <c r="B42" s="513"/>
      <c r="C42" s="513"/>
      <c r="D42" s="513"/>
      <c r="E42" s="513"/>
      <c r="F42" s="513"/>
      <c r="G42" s="513"/>
      <c r="H42" s="514"/>
      <c r="I42" s="84"/>
      <c r="J42" s="84"/>
      <c r="K42" s="84"/>
      <c r="L42" s="417"/>
      <c r="M42" s="496"/>
      <c r="N42" s="496"/>
      <c r="O42" s="496"/>
      <c r="P42" s="496"/>
      <c r="Q42" s="496"/>
      <c r="R42" s="418"/>
      <c r="T42" s="219"/>
      <c r="U42" s="219"/>
      <c r="V42" s="219"/>
      <c r="W42" s="51"/>
    </row>
    <row r="43" spans="1:23" x14ac:dyDescent="0.25">
      <c r="A43" s="512" t="s">
        <v>174</v>
      </c>
      <c r="B43" s="513"/>
      <c r="C43" s="513"/>
      <c r="D43" s="513"/>
      <c r="E43" s="513"/>
      <c r="F43" s="513"/>
      <c r="G43" s="513"/>
      <c r="H43" s="514"/>
      <c r="I43" s="84"/>
      <c r="J43" s="84"/>
      <c r="K43" s="84"/>
      <c r="L43" s="417"/>
      <c r="M43" s="496"/>
      <c r="N43" s="496"/>
      <c r="O43" s="496"/>
      <c r="P43" s="496"/>
      <c r="Q43" s="496"/>
      <c r="R43" s="418"/>
      <c r="T43" s="219"/>
      <c r="U43" s="219"/>
      <c r="V43" s="219"/>
      <c r="W43" s="51"/>
    </row>
    <row r="44" spans="1:23" x14ac:dyDescent="0.25">
      <c r="A44" s="512" t="s">
        <v>175</v>
      </c>
      <c r="B44" s="513"/>
      <c r="C44" s="513"/>
      <c r="D44" s="513"/>
      <c r="E44" s="513"/>
      <c r="F44" s="513"/>
      <c r="G44" s="513"/>
      <c r="H44" s="514"/>
      <c r="I44" s="84"/>
      <c r="J44" s="84"/>
      <c r="K44" s="84"/>
      <c r="L44" s="417"/>
      <c r="M44" s="496"/>
      <c r="N44" s="496"/>
      <c r="O44" s="496"/>
      <c r="P44" s="496"/>
      <c r="Q44" s="496"/>
      <c r="R44" s="418"/>
      <c r="T44" s="219"/>
      <c r="U44" s="219"/>
      <c r="V44" s="219"/>
      <c r="W44" s="51"/>
    </row>
    <row r="45" spans="1:23" x14ac:dyDescent="0.25">
      <c r="A45" s="512" t="s">
        <v>176</v>
      </c>
      <c r="B45" s="513"/>
      <c r="C45" s="513"/>
      <c r="D45" s="513"/>
      <c r="E45" s="513"/>
      <c r="F45" s="513"/>
      <c r="G45" s="513"/>
      <c r="H45" s="514"/>
      <c r="I45" s="84"/>
      <c r="J45" s="84"/>
      <c r="K45" s="84"/>
      <c r="L45" s="417"/>
      <c r="M45" s="496"/>
      <c r="N45" s="496"/>
      <c r="O45" s="496"/>
      <c r="P45" s="496"/>
      <c r="Q45" s="496"/>
      <c r="R45" s="418"/>
      <c r="T45" s="219"/>
      <c r="U45" s="219"/>
      <c r="V45" s="219"/>
      <c r="W45" s="51"/>
    </row>
    <row r="46" spans="1:23" x14ac:dyDescent="0.25">
      <c r="A46" s="512" t="s">
        <v>177</v>
      </c>
      <c r="B46" s="513"/>
      <c r="C46" s="513"/>
      <c r="D46" s="513"/>
      <c r="E46" s="513"/>
      <c r="F46" s="513"/>
      <c r="G46" s="513"/>
      <c r="H46" s="514"/>
      <c r="I46" s="84"/>
      <c r="J46" s="84"/>
      <c r="K46" s="84"/>
      <c r="L46" s="417"/>
      <c r="M46" s="496"/>
      <c r="N46" s="496"/>
      <c r="O46" s="496"/>
      <c r="P46" s="496"/>
      <c r="Q46" s="496"/>
      <c r="R46" s="418"/>
      <c r="T46" s="219"/>
      <c r="U46" s="219"/>
      <c r="V46" s="219"/>
      <c r="W46" s="51"/>
    </row>
    <row r="47" spans="1:23" x14ac:dyDescent="0.25">
      <c r="A47" s="512" t="s">
        <v>178</v>
      </c>
      <c r="B47" s="513"/>
      <c r="C47" s="513"/>
      <c r="D47" s="513"/>
      <c r="E47" s="513"/>
      <c r="F47" s="513"/>
      <c r="G47" s="513"/>
      <c r="H47" s="514"/>
      <c r="I47" s="84"/>
      <c r="J47" s="84"/>
      <c r="K47" s="84"/>
      <c r="L47" s="417"/>
      <c r="M47" s="496"/>
      <c r="N47" s="496"/>
      <c r="O47" s="496"/>
      <c r="P47" s="496"/>
      <c r="Q47" s="496"/>
      <c r="R47" s="418"/>
      <c r="T47" s="219"/>
      <c r="U47" s="219"/>
      <c r="V47" s="219"/>
      <c r="W47" s="51"/>
    </row>
    <row r="48" spans="1:23" x14ac:dyDescent="0.25">
      <c r="A48" s="512" t="s">
        <v>179</v>
      </c>
      <c r="B48" s="513"/>
      <c r="C48" s="513"/>
      <c r="D48" s="513"/>
      <c r="E48" s="513"/>
      <c r="F48" s="513"/>
      <c r="G48" s="513"/>
      <c r="H48" s="514"/>
      <c r="I48" s="84"/>
      <c r="J48" s="84"/>
      <c r="K48" s="84"/>
      <c r="L48" s="417"/>
      <c r="M48" s="496"/>
      <c r="N48" s="496"/>
      <c r="O48" s="496"/>
      <c r="P48" s="496"/>
      <c r="Q48" s="496"/>
      <c r="R48" s="418"/>
      <c r="T48" s="219"/>
      <c r="U48" s="219"/>
      <c r="V48" s="219"/>
      <c r="W48" s="51"/>
    </row>
    <row r="49" spans="1:23" x14ac:dyDescent="0.25">
      <c r="A49" s="512" t="s">
        <v>180</v>
      </c>
      <c r="B49" s="513"/>
      <c r="C49" s="513"/>
      <c r="D49" s="513"/>
      <c r="E49" s="513"/>
      <c r="F49" s="513"/>
      <c r="G49" s="513"/>
      <c r="H49" s="514"/>
      <c r="I49" s="84"/>
      <c r="J49" s="84"/>
      <c r="K49" s="84"/>
      <c r="L49" s="417"/>
      <c r="M49" s="496"/>
      <c r="N49" s="496"/>
      <c r="O49" s="496"/>
      <c r="P49" s="496"/>
      <c r="Q49" s="496"/>
      <c r="R49" s="418"/>
      <c r="T49" s="219"/>
      <c r="U49" s="219"/>
      <c r="V49" s="219"/>
      <c r="W49" s="51"/>
    </row>
    <row r="50" spans="1:23" x14ac:dyDescent="0.25">
      <c r="A50" s="512" t="s">
        <v>92</v>
      </c>
      <c r="B50" s="513"/>
      <c r="C50" s="513"/>
      <c r="D50" s="513"/>
      <c r="E50" s="513"/>
      <c r="F50" s="513"/>
      <c r="G50" s="513"/>
      <c r="H50" s="514"/>
      <c r="I50" s="84"/>
      <c r="J50" s="84"/>
      <c r="K50" s="84"/>
      <c r="L50" s="417"/>
      <c r="M50" s="496"/>
      <c r="N50" s="496"/>
      <c r="O50" s="496"/>
      <c r="P50" s="496"/>
      <c r="Q50" s="496"/>
      <c r="R50" s="418"/>
      <c r="T50" s="219"/>
      <c r="U50" s="219"/>
      <c r="V50" s="219"/>
      <c r="W50" s="51"/>
    </row>
    <row r="51" spans="1:23" x14ac:dyDescent="0.25">
      <c r="A51" s="512" t="s">
        <v>93</v>
      </c>
      <c r="B51" s="513"/>
      <c r="C51" s="513"/>
      <c r="D51" s="513"/>
      <c r="E51" s="513"/>
      <c r="F51" s="513"/>
      <c r="G51" s="513"/>
      <c r="H51" s="514"/>
      <c r="I51" s="84"/>
      <c r="J51" s="84"/>
      <c r="K51" s="84"/>
      <c r="L51" s="417"/>
      <c r="M51" s="496"/>
      <c r="N51" s="496"/>
      <c r="O51" s="496"/>
      <c r="P51" s="496"/>
      <c r="Q51" s="496"/>
      <c r="R51" s="418"/>
      <c r="T51" s="219"/>
      <c r="U51" s="219"/>
      <c r="V51" s="219"/>
      <c r="W51" s="51"/>
    </row>
    <row r="52" spans="1:23" x14ac:dyDescent="0.25">
      <c r="A52" s="512" t="s">
        <v>181</v>
      </c>
      <c r="B52" s="513"/>
      <c r="C52" s="513"/>
      <c r="D52" s="513"/>
      <c r="E52" s="513"/>
      <c r="F52" s="513"/>
      <c r="G52" s="513"/>
      <c r="H52" s="514"/>
      <c r="I52" s="84"/>
      <c r="J52" s="84"/>
      <c r="K52" s="84"/>
      <c r="L52" s="417"/>
      <c r="M52" s="496"/>
      <c r="N52" s="496"/>
      <c r="O52" s="496"/>
      <c r="P52" s="496"/>
      <c r="Q52" s="496"/>
      <c r="R52" s="418"/>
      <c r="T52" s="219"/>
      <c r="U52" s="219"/>
      <c r="V52" s="219"/>
      <c r="W52" s="51"/>
    </row>
    <row r="53" spans="1:23" x14ac:dyDescent="0.25">
      <c r="A53" s="512" t="s">
        <v>182</v>
      </c>
      <c r="B53" s="513"/>
      <c r="C53" s="513"/>
      <c r="D53" s="513"/>
      <c r="E53" s="513"/>
      <c r="F53" s="513"/>
      <c r="G53" s="513"/>
      <c r="H53" s="514"/>
      <c r="I53" s="84"/>
      <c r="J53" s="84"/>
      <c r="K53" s="84"/>
      <c r="L53" s="417"/>
      <c r="M53" s="496"/>
      <c r="N53" s="496"/>
      <c r="O53" s="496"/>
      <c r="P53" s="496"/>
      <c r="Q53" s="496"/>
      <c r="R53" s="418"/>
      <c r="T53" s="219"/>
      <c r="U53" s="219"/>
      <c r="V53" s="219"/>
      <c r="W53" s="51"/>
    </row>
    <row r="54" spans="1:23" x14ac:dyDescent="0.25">
      <c r="A54" s="496"/>
      <c r="B54" s="496"/>
      <c r="C54" s="496"/>
      <c r="D54" s="496"/>
      <c r="E54" s="496"/>
      <c r="F54" s="496"/>
      <c r="G54" s="496"/>
      <c r="H54" s="418"/>
      <c r="I54" s="84"/>
      <c r="J54" s="84"/>
      <c r="K54" s="84"/>
      <c r="L54" s="417"/>
      <c r="M54" s="496"/>
      <c r="N54" s="496"/>
      <c r="O54" s="496"/>
      <c r="P54" s="496"/>
      <c r="Q54" s="496"/>
      <c r="R54" s="418"/>
      <c r="T54" s="219"/>
      <c r="U54" s="219"/>
      <c r="V54" s="219"/>
      <c r="W54" s="51"/>
    </row>
    <row r="55" spans="1:23" x14ac:dyDescent="0.25">
      <c r="A55" s="525"/>
      <c r="B55" s="526"/>
      <c r="C55" s="526"/>
      <c r="D55" s="526"/>
      <c r="E55" s="526"/>
      <c r="F55" s="526"/>
      <c r="G55" s="526"/>
      <c r="H55" s="527"/>
      <c r="I55" s="84"/>
      <c r="J55" s="84"/>
      <c r="K55" s="84"/>
      <c r="L55" s="417"/>
      <c r="M55" s="496"/>
      <c r="N55" s="496"/>
      <c r="O55" s="496"/>
      <c r="P55" s="496"/>
      <c r="Q55" s="496"/>
      <c r="R55" s="418"/>
      <c r="T55" s="219"/>
      <c r="U55" s="219"/>
      <c r="V55" s="219"/>
      <c r="W55" s="51"/>
    </row>
    <row r="56" spans="1:23" x14ac:dyDescent="0.25">
      <c r="A56" s="515" t="s">
        <v>183</v>
      </c>
      <c r="B56" s="516"/>
      <c r="C56" s="516"/>
      <c r="D56" s="516"/>
      <c r="E56" s="516"/>
      <c r="F56" s="516"/>
      <c r="G56" s="516"/>
      <c r="H56" s="517"/>
      <c r="I56" s="84"/>
      <c r="J56" s="84"/>
      <c r="K56" s="84"/>
      <c r="L56" s="417"/>
      <c r="M56" s="496"/>
      <c r="N56" s="496"/>
      <c r="O56" s="496"/>
      <c r="P56" s="496"/>
      <c r="Q56" s="496"/>
      <c r="R56" s="418"/>
      <c r="T56" s="219"/>
      <c r="U56" s="219"/>
      <c r="V56" s="219"/>
      <c r="W56" s="51"/>
    </row>
    <row r="57" spans="1:23" x14ac:dyDescent="0.25">
      <c r="A57" s="512" t="s">
        <v>91</v>
      </c>
      <c r="B57" s="513"/>
      <c r="C57" s="513"/>
      <c r="D57" s="513"/>
      <c r="E57" s="513"/>
      <c r="F57" s="513"/>
      <c r="G57" s="513"/>
      <c r="H57" s="514"/>
      <c r="I57" s="84"/>
      <c r="J57" s="84"/>
      <c r="K57" s="84"/>
      <c r="L57" s="417"/>
      <c r="M57" s="496"/>
      <c r="N57" s="496"/>
      <c r="O57" s="496"/>
      <c r="P57" s="496"/>
      <c r="Q57" s="496"/>
      <c r="R57" s="418"/>
      <c r="T57" s="219"/>
      <c r="U57" s="219"/>
      <c r="V57" s="219"/>
      <c r="W57" s="51"/>
    </row>
    <row r="58" spans="1:23" x14ac:dyDescent="0.25">
      <c r="A58" s="512" t="s">
        <v>172</v>
      </c>
      <c r="B58" s="513"/>
      <c r="C58" s="513"/>
      <c r="D58" s="513"/>
      <c r="E58" s="513"/>
      <c r="F58" s="513"/>
      <c r="G58" s="513"/>
      <c r="H58" s="514"/>
      <c r="I58" s="84"/>
      <c r="J58" s="84"/>
      <c r="K58" s="84"/>
      <c r="L58" s="417"/>
      <c r="M58" s="496"/>
      <c r="N58" s="496"/>
      <c r="O58" s="496"/>
      <c r="P58" s="496"/>
      <c r="Q58" s="496"/>
      <c r="R58" s="418"/>
      <c r="T58" s="219"/>
      <c r="U58" s="219"/>
      <c r="V58" s="219"/>
      <c r="W58" s="51"/>
    </row>
    <row r="59" spans="1:23" x14ac:dyDescent="0.25">
      <c r="A59" s="512" t="s">
        <v>173</v>
      </c>
      <c r="B59" s="513"/>
      <c r="C59" s="513"/>
      <c r="D59" s="513"/>
      <c r="E59" s="513"/>
      <c r="F59" s="513"/>
      <c r="G59" s="513"/>
      <c r="H59" s="514"/>
      <c r="I59" s="84"/>
      <c r="J59" s="84"/>
      <c r="K59" s="84"/>
      <c r="L59" s="417"/>
      <c r="M59" s="496"/>
      <c r="N59" s="496"/>
      <c r="O59" s="496"/>
      <c r="P59" s="496"/>
      <c r="Q59" s="496"/>
      <c r="R59" s="418"/>
      <c r="T59" s="219"/>
      <c r="U59" s="219"/>
      <c r="V59" s="219"/>
      <c r="W59" s="51"/>
    </row>
    <row r="60" spans="1:23" x14ac:dyDescent="0.25">
      <c r="A60" s="512" t="s">
        <v>184</v>
      </c>
      <c r="B60" s="513"/>
      <c r="C60" s="513"/>
      <c r="D60" s="513"/>
      <c r="E60" s="513"/>
      <c r="F60" s="513"/>
      <c r="G60" s="513"/>
      <c r="H60" s="514"/>
      <c r="I60" s="84"/>
      <c r="J60" s="84"/>
      <c r="K60" s="84"/>
      <c r="L60" s="417"/>
      <c r="M60" s="496"/>
      <c r="N60" s="496"/>
      <c r="O60" s="496"/>
      <c r="P60" s="496"/>
      <c r="Q60" s="496"/>
      <c r="R60" s="418"/>
      <c r="T60" s="219"/>
      <c r="U60" s="219"/>
      <c r="V60" s="219"/>
      <c r="W60" s="51"/>
    </row>
    <row r="61" spans="1:23" x14ac:dyDescent="0.25">
      <c r="A61" s="512" t="s">
        <v>175</v>
      </c>
      <c r="B61" s="513"/>
      <c r="C61" s="513"/>
      <c r="D61" s="513"/>
      <c r="E61" s="513"/>
      <c r="F61" s="513"/>
      <c r="G61" s="513"/>
      <c r="H61" s="514"/>
      <c r="I61" s="84"/>
      <c r="J61" s="84"/>
      <c r="K61" s="84"/>
      <c r="L61" s="417"/>
      <c r="M61" s="496"/>
      <c r="N61" s="496"/>
      <c r="O61" s="496"/>
      <c r="P61" s="496"/>
      <c r="Q61" s="496"/>
      <c r="R61" s="418"/>
      <c r="T61" s="219"/>
      <c r="U61" s="219"/>
      <c r="V61" s="219"/>
      <c r="W61" s="51"/>
    </row>
    <row r="62" spans="1:23" x14ac:dyDescent="0.25">
      <c r="A62" s="512" t="s">
        <v>586</v>
      </c>
      <c r="B62" s="513"/>
      <c r="C62" s="513"/>
      <c r="D62" s="513"/>
      <c r="E62" s="513"/>
      <c r="F62" s="513"/>
      <c r="G62" s="513"/>
      <c r="H62" s="514"/>
      <c r="I62" s="84"/>
      <c r="J62" s="84"/>
      <c r="K62" s="84"/>
      <c r="L62" s="417"/>
      <c r="M62" s="496"/>
      <c r="N62" s="496"/>
      <c r="O62" s="496"/>
      <c r="P62" s="496"/>
      <c r="Q62" s="496"/>
      <c r="R62" s="418"/>
      <c r="T62" s="219"/>
      <c r="U62" s="219"/>
      <c r="V62" s="219"/>
      <c r="W62" s="51"/>
    </row>
    <row r="63" spans="1:23" x14ac:dyDescent="0.25">
      <c r="A63" s="525"/>
      <c r="B63" s="526"/>
      <c r="C63" s="526"/>
      <c r="D63" s="526"/>
      <c r="E63" s="526"/>
      <c r="F63" s="526"/>
      <c r="G63" s="526"/>
      <c r="H63" s="527"/>
      <c r="I63" s="84"/>
      <c r="J63" s="84"/>
      <c r="K63" s="84"/>
      <c r="L63" s="417"/>
      <c r="M63" s="496"/>
      <c r="N63" s="496"/>
      <c r="O63" s="496"/>
      <c r="P63" s="496"/>
      <c r="Q63" s="496"/>
      <c r="R63" s="418"/>
      <c r="T63" s="219"/>
      <c r="U63" s="219"/>
      <c r="V63" s="219"/>
      <c r="W63" s="51"/>
    </row>
    <row r="64" spans="1:23" x14ac:dyDescent="0.25">
      <c r="A64" s="525"/>
      <c r="B64" s="526"/>
      <c r="C64" s="526"/>
      <c r="D64" s="526"/>
      <c r="E64" s="526"/>
      <c r="F64" s="526"/>
      <c r="G64" s="526"/>
      <c r="H64" s="527"/>
      <c r="I64" s="84"/>
      <c r="J64" s="84"/>
      <c r="K64" s="84"/>
      <c r="L64" s="417"/>
      <c r="M64" s="496"/>
      <c r="N64" s="496"/>
      <c r="O64" s="496"/>
      <c r="P64" s="496"/>
      <c r="Q64" s="496"/>
      <c r="R64" s="418"/>
      <c r="T64" s="219"/>
      <c r="U64" s="219"/>
      <c r="V64" s="219"/>
      <c r="W64" s="51"/>
    </row>
    <row r="65" spans="1:23" x14ac:dyDescent="0.25">
      <c r="A65" s="515" t="s">
        <v>185</v>
      </c>
      <c r="B65" s="516"/>
      <c r="C65" s="516"/>
      <c r="D65" s="516"/>
      <c r="E65" s="516"/>
      <c r="F65" s="516"/>
      <c r="G65" s="516"/>
      <c r="H65" s="517"/>
      <c r="I65" s="84"/>
      <c r="J65" s="84"/>
      <c r="K65" s="84"/>
      <c r="L65" s="417"/>
      <c r="M65" s="496"/>
      <c r="N65" s="496"/>
      <c r="O65" s="496"/>
      <c r="P65" s="496"/>
      <c r="Q65" s="496"/>
      <c r="R65" s="418"/>
      <c r="T65" s="219"/>
      <c r="U65" s="219"/>
      <c r="V65" s="219"/>
      <c r="W65" s="51"/>
    </row>
    <row r="66" spans="1:23" x14ac:dyDescent="0.25">
      <c r="A66" s="512" t="s">
        <v>93</v>
      </c>
      <c r="B66" s="513"/>
      <c r="C66" s="513"/>
      <c r="D66" s="513"/>
      <c r="E66" s="513"/>
      <c r="F66" s="513"/>
      <c r="G66" s="513"/>
      <c r="H66" s="514"/>
      <c r="I66" s="84"/>
      <c r="J66" s="84"/>
      <c r="K66" s="84"/>
      <c r="L66" s="417"/>
      <c r="M66" s="496"/>
      <c r="N66" s="496"/>
      <c r="O66" s="496"/>
      <c r="P66" s="496"/>
      <c r="Q66" s="496"/>
      <c r="R66" s="418"/>
      <c r="T66" s="219"/>
      <c r="U66" s="219"/>
      <c r="V66" s="219"/>
      <c r="W66" s="51"/>
    </row>
    <row r="67" spans="1:23" x14ac:dyDescent="0.25">
      <c r="A67" s="512" t="s">
        <v>186</v>
      </c>
      <c r="B67" s="513"/>
      <c r="C67" s="513"/>
      <c r="D67" s="513"/>
      <c r="E67" s="513"/>
      <c r="F67" s="513"/>
      <c r="G67" s="513"/>
      <c r="H67" s="514"/>
      <c r="I67" s="84"/>
      <c r="J67" s="84"/>
      <c r="K67" s="84"/>
      <c r="L67" s="417"/>
      <c r="M67" s="496"/>
      <c r="N67" s="496"/>
      <c r="O67" s="496"/>
      <c r="P67" s="496"/>
      <c r="Q67" s="496"/>
      <c r="R67" s="418"/>
      <c r="T67" s="219"/>
      <c r="U67" s="219"/>
      <c r="V67" s="219"/>
      <c r="W67" s="51"/>
    </row>
    <row r="68" spans="1:23" x14ac:dyDescent="0.25">
      <c r="A68" s="525"/>
      <c r="B68" s="526"/>
      <c r="C68" s="526"/>
      <c r="D68" s="526"/>
      <c r="E68" s="526"/>
      <c r="F68" s="526"/>
      <c r="G68" s="526"/>
      <c r="H68" s="527"/>
      <c r="I68" s="84"/>
      <c r="J68" s="84"/>
      <c r="K68" s="84"/>
      <c r="L68" s="417"/>
      <c r="M68" s="496"/>
      <c r="N68" s="496"/>
      <c r="O68" s="496"/>
      <c r="P68" s="496"/>
      <c r="Q68" s="496"/>
      <c r="R68" s="418"/>
      <c r="T68" s="219"/>
      <c r="U68" s="219"/>
      <c r="V68" s="219"/>
      <c r="W68" s="51"/>
    </row>
    <row r="69" spans="1:23" x14ac:dyDescent="0.25">
      <c r="A69" s="525"/>
      <c r="B69" s="526"/>
      <c r="C69" s="526"/>
      <c r="D69" s="526"/>
      <c r="E69" s="526"/>
      <c r="F69" s="526"/>
      <c r="G69" s="526"/>
      <c r="H69" s="527"/>
      <c r="I69" s="84"/>
      <c r="J69" s="84"/>
      <c r="K69" s="84"/>
      <c r="L69" s="417"/>
      <c r="M69" s="496"/>
      <c r="N69" s="496"/>
      <c r="O69" s="496"/>
      <c r="P69" s="496"/>
      <c r="Q69" s="496"/>
      <c r="R69" s="418"/>
      <c r="T69" s="219"/>
      <c r="U69" s="219"/>
      <c r="V69" s="219"/>
      <c r="W69" s="51"/>
    </row>
    <row r="70" spans="1:23" x14ac:dyDescent="0.25">
      <c r="A70" s="525"/>
      <c r="B70" s="526"/>
      <c r="C70" s="526"/>
      <c r="D70" s="526"/>
      <c r="E70" s="526"/>
      <c r="F70" s="526"/>
      <c r="G70" s="526"/>
      <c r="H70" s="527"/>
      <c r="I70" s="84"/>
      <c r="J70" s="84"/>
      <c r="K70" s="84"/>
      <c r="L70" s="417"/>
      <c r="M70" s="496"/>
      <c r="N70" s="496"/>
      <c r="O70" s="496"/>
      <c r="P70" s="496"/>
      <c r="Q70" s="496"/>
      <c r="R70" s="418"/>
      <c r="T70" s="219"/>
      <c r="U70" s="219"/>
      <c r="V70" s="219"/>
      <c r="W70" s="51"/>
    </row>
    <row r="71" spans="1:23" x14ac:dyDescent="0.25">
      <c r="A71" s="525"/>
      <c r="B71" s="526"/>
      <c r="C71" s="526"/>
      <c r="D71" s="526"/>
      <c r="E71" s="526"/>
      <c r="F71" s="526"/>
      <c r="G71" s="526"/>
      <c r="H71" s="527"/>
      <c r="I71" s="84"/>
      <c r="J71" s="84"/>
      <c r="K71" s="84"/>
      <c r="L71" s="417"/>
      <c r="M71" s="496"/>
      <c r="N71" s="496"/>
      <c r="O71" s="496"/>
      <c r="P71" s="496"/>
      <c r="Q71" s="496"/>
      <c r="R71" s="418"/>
      <c r="T71" s="219"/>
      <c r="U71" s="219"/>
      <c r="V71" s="219"/>
      <c r="W71" s="51"/>
    </row>
    <row r="72" spans="1:23" x14ac:dyDescent="0.25">
      <c r="A72" s="525"/>
      <c r="B72" s="526"/>
      <c r="C72" s="526"/>
      <c r="D72" s="526"/>
      <c r="E72" s="526"/>
      <c r="F72" s="526"/>
      <c r="G72" s="526"/>
      <c r="H72" s="527"/>
      <c r="I72" s="84"/>
      <c r="J72" s="84"/>
      <c r="K72" s="84"/>
      <c r="L72" s="417"/>
      <c r="M72" s="496"/>
      <c r="N72" s="496"/>
      <c r="O72" s="496"/>
      <c r="P72" s="496"/>
      <c r="Q72" s="496"/>
      <c r="R72" s="418"/>
      <c r="T72" s="219"/>
      <c r="U72" s="219"/>
      <c r="V72" s="219"/>
      <c r="W72" s="51"/>
    </row>
    <row r="73" spans="1:23" x14ac:dyDescent="0.25">
      <c r="A73" s="515" t="s">
        <v>187</v>
      </c>
      <c r="B73" s="516"/>
      <c r="C73" s="516"/>
      <c r="D73" s="516"/>
      <c r="E73" s="516"/>
      <c r="F73" s="516"/>
      <c r="G73" s="516"/>
      <c r="H73" s="517"/>
      <c r="I73" s="84"/>
      <c r="J73" s="84"/>
      <c r="K73" s="84"/>
      <c r="L73" s="417"/>
      <c r="M73" s="496"/>
      <c r="N73" s="496"/>
      <c r="O73" s="496"/>
      <c r="P73" s="496"/>
      <c r="Q73" s="496"/>
      <c r="R73" s="418"/>
      <c r="T73" s="219"/>
      <c r="U73" s="219"/>
      <c r="V73" s="219"/>
      <c r="W73" s="51"/>
    </row>
    <row r="74" spans="1:23" x14ac:dyDescent="0.25">
      <c r="A74" s="512" t="s">
        <v>189</v>
      </c>
      <c r="B74" s="513"/>
      <c r="C74" s="513"/>
      <c r="D74" s="513"/>
      <c r="E74" s="513"/>
      <c r="F74" s="513"/>
      <c r="G74" s="513"/>
      <c r="H74" s="514"/>
      <c r="I74" s="84"/>
      <c r="J74" s="84"/>
      <c r="K74" s="84"/>
      <c r="L74" s="417"/>
      <c r="M74" s="496"/>
      <c r="N74" s="496"/>
      <c r="O74" s="496"/>
      <c r="P74" s="496"/>
      <c r="Q74" s="496"/>
      <c r="R74" s="418"/>
      <c r="T74" s="219"/>
      <c r="U74" s="219"/>
      <c r="V74" s="219"/>
      <c r="W74" s="51"/>
    </row>
    <row r="75" spans="1:23" x14ac:dyDescent="0.25">
      <c r="A75" s="512" t="s">
        <v>188</v>
      </c>
      <c r="B75" s="513"/>
      <c r="C75" s="513"/>
      <c r="D75" s="513"/>
      <c r="E75" s="513"/>
      <c r="F75" s="513"/>
      <c r="G75" s="513"/>
      <c r="H75" s="514"/>
      <c r="I75" s="84"/>
      <c r="J75" s="84"/>
      <c r="K75" s="84"/>
      <c r="L75" s="417"/>
      <c r="M75" s="496"/>
      <c r="N75" s="496"/>
      <c r="O75" s="496"/>
      <c r="P75" s="496"/>
      <c r="Q75" s="496"/>
      <c r="R75" s="418"/>
      <c r="T75" s="219"/>
      <c r="U75" s="219"/>
      <c r="V75" s="219"/>
      <c r="W75" s="51"/>
    </row>
    <row r="76" spans="1:23" x14ac:dyDescent="0.25">
      <c r="A76" s="512" t="s">
        <v>181</v>
      </c>
      <c r="B76" s="513"/>
      <c r="C76" s="513"/>
      <c r="D76" s="513"/>
      <c r="E76" s="513"/>
      <c r="F76" s="513"/>
      <c r="G76" s="513"/>
      <c r="H76" s="514"/>
      <c r="I76" s="84"/>
      <c r="J76" s="84"/>
      <c r="K76" s="84"/>
      <c r="L76" s="417"/>
      <c r="M76" s="496"/>
      <c r="N76" s="496"/>
      <c r="O76" s="496"/>
      <c r="P76" s="496"/>
      <c r="Q76" s="496"/>
      <c r="R76" s="418"/>
      <c r="T76" s="219"/>
      <c r="U76" s="219"/>
      <c r="V76" s="219"/>
      <c r="W76" s="51"/>
    </row>
    <row r="77" spans="1:23" x14ac:dyDescent="0.25">
      <c r="A77" s="496"/>
      <c r="B77" s="496"/>
      <c r="C77" s="496"/>
      <c r="D77" s="496"/>
      <c r="E77" s="496"/>
      <c r="F77" s="496"/>
      <c r="G77" s="496"/>
      <c r="H77" s="418"/>
      <c r="I77" s="84"/>
      <c r="J77" s="84"/>
      <c r="K77" s="84"/>
      <c r="L77" s="417"/>
      <c r="M77" s="496"/>
      <c r="N77" s="496"/>
      <c r="O77" s="496"/>
      <c r="P77" s="496"/>
      <c r="Q77" s="496"/>
      <c r="R77" s="418"/>
      <c r="T77" s="219"/>
      <c r="U77" s="219"/>
      <c r="V77" s="219"/>
      <c r="W77" s="51"/>
    </row>
    <row r="78" spans="1:23" x14ac:dyDescent="0.25">
      <c r="A78" s="525"/>
      <c r="B78" s="526"/>
      <c r="C78" s="526"/>
      <c r="D78" s="526"/>
      <c r="E78" s="526"/>
      <c r="F78" s="526"/>
      <c r="G78" s="526"/>
      <c r="H78" s="527"/>
      <c r="I78" s="84"/>
      <c r="J78" s="84"/>
      <c r="K78" s="84"/>
      <c r="L78" s="417"/>
      <c r="M78" s="496"/>
      <c r="N78" s="496"/>
      <c r="O78" s="496"/>
      <c r="P78" s="496"/>
      <c r="Q78" s="496"/>
      <c r="R78" s="418"/>
      <c r="T78" s="219"/>
      <c r="U78" s="219"/>
      <c r="V78" s="219"/>
      <c r="W78" s="51"/>
    </row>
    <row r="79" spans="1:23" x14ac:dyDescent="0.25">
      <c r="A79" s="512" t="s">
        <v>190</v>
      </c>
      <c r="B79" s="513"/>
      <c r="C79" s="513"/>
      <c r="D79" s="513"/>
      <c r="E79" s="513"/>
      <c r="F79" s="513"/>
      <c r="G79" s="513"/>
      <c r="H79" s="514"/>
      <c r="I79" s="84"/>
      <c r="J79" s="84"/>
      <c r="K79" s="84"/>
      <c r="L79" s="417"/>
      <c r="M79" s="496"/>
      <c r="N79" s="496"/>
      <c r="O79" s="496"/>
      <c r="P79" s="496"/>
      <c r="Q79" s="496"/>
      <c r="R79" s="418"/>
      <c r="T79" s="219"/>
      <c r="U79" s="219"/>
      <c r="V79" s="219"/>
      <c r="W79" s="51"/>
    </row>
    <row r="80" spans="1:23" x14ac:dyDescent="0.25">
      <c r="A80" s="525"/>
      <c r="B80" s="526"/>
      <c r="C80" s="526"/>
      <c r="D80" s="526"/>
      <c r="E80" s="526"/>
      <c r="F80" s="526"/>
      <c r="G80" s="526"/>
      <c r="H80" s="527"/>
      <c r="I80" s="84"/>
      <c r="J80" s="84"/>
      <c r="K80" s="84"/>
      <c r="L80" s="417"/>
      <c r="M80" s="496"/>
      <c r="N80" s="496"/>
      <c r="O80" s="496"/>
      <c r="P80" s="496"/>
      <c r="Q80" s="496"/>
      <c r="R80" s="418"/>
      <c r="T80" s="219"/>
      <c r="U80" s="219"/>
      <c r="V80" s="219"/>
      <c r="W80" s="51"/>
    </row>
    <row r="81" spans="1:23" x14ac:dyDescent="0.25">
      <c r="A81" s="525"/>
      <c r="B81" s="526"/>
      <c r="C81" s="526"/>
      <c r="D81" s="526"/>
      <c r="E81" s="526"/>
      <c r="F81" s="526"/>
      <c r="G81" s="526"/>
      <c r="H81" s="527"/>
      <c r="I81" s="84"/>
      <c r="J81" s="84"/>
      <c r="K81" s="84"/>
      <c r="L81" s="417"/>
      <c r="M81" s="496"/>
      <c r="N81" s="496"/>
      <c r="O81" s="496"/>
      <c r="P81" s="496"/>
      <c r="Q81" s="496"/>
      <c r="R81" s="418"/>
      <c r="T81" s="219"/>
      <c r="U81" s="219"/>
      <c r="V81" s="219"/>
      <c r="W81" s="51"/>
    </row>
    <row r="82" spans="1:23" x14ac:dyDescent="0.25">
      <c r="A82" s="284" t="s">
        <v>549</v>
      </c>
      <c r="B82" s="285"/>
      <c r="C82" s="285"/>
      <c r="D82" s="285"/>
      <c r="E82" s="285"/>
      <c r="F82" s="285"/>
      <c r="G82" s="285"/>
      <c r="H82" s="286"/>
      <c r="I82" s="287" t="s">
        <v>65</v>
      </c>
      <c r="J82" s="287" t="s">
        <v>122</v>
      </c>
      <c r="K82" s="287" t="s">
        <v>127</v>
      </c>
      <c r="L82" s="528" t="s">
        <v>90</v>
      </c>
      <c r="M82" s="529"/>
      <c r="N82" s="529"/>
      <c r="O82" s="529"/>
      <c r="P82" s="529"/>
      <c r="Q82" s="529"/>
      <c r="R82" s="530"/>
      <c r="T82" s="51"/>
      <c r="U82" s="51"/>
      <c r="V82" s="51"/>
      <c r="W82" s="51"/>
    </row>
    <row r="83" spans="1:23" x14ac:dyDescent="0.25">
      <c r="A83" s="440" t="s">
        <v>191</v>
      </c>
      <c r="B83" s="440"/>
      <c r="C83" s="440"/>
      <c r="D83" s="440"/>
      <c r="E83" s="440"/>
      <c r="F83" s="440"/>
      <c r="G83" s="440"/>
      <c r="H83" s="518"/>
      <c r="I83" s="84"/>
      <c r="J83" s="84"/>
      <c r="K83" s="84"/>
      <c r="L83" s="417"/>
      <c r="M83" s="496"/>
      <c r="N83" s="496"/>
      <c r="O83" s="496"/>
      <c r="P83" s="496"/>
      <c r="Q83" s="496"/>
      <c r="R83" s="418"/>
      <c r="T83" s="51"/>
      <c r="U83" s="51"/>
      <c r="V83" s="51"/>
      <c r="W83" s="51"/>
    </row>
    <row r="84" spans="1:23" x14ac:dyDescent="0.25">
      <c r="A84" s="522" t="s">
        <v>44</v>
      </c>
      <c r="B84" s="523"/>
      <c r="C84" s="523"/>
      <c r="D84" s="523"/>
      <c r="E84" s="523"/>
      <c r="F84" s="523"/>
      <c r="G84" s="523"/>
      <c r="H84" s="524"/>
      <c r="I84" s="84"/>
      <c r="J84" s="84"/>
      <c r="K84" s="84"/>
      <c r="L84" s="417"/>
      <c r="M84" s="496"/>
      <c r="N84" s="496"/>
      <c r="O84" s="496"/>
      <c r="P84" s="496"/>
      <c r="Q84" s="496"/>
      <c r="R84" s="418"/>
      <c r="T84" s="51"/>
      <c r="U84" s="51"/>
      <c r="V84" s="51"/>
      <c r="W84" s="51"/>
    </row>
    <row r="85" spans="1:23" x14ac:dyDescent="0.25">
      <c r="A85" s="522" t="s">
        <v>45</v>
      </c>
      <c r="B85" s="523"/>
      <c r="C85" s="523"/>
      <c r="D85" s="523"/>
      <c r="E85" s="523"/>
      <c r="F85" s="523"/>
      <c r="G85" s="523"/>
      <c r="H85" s="524"/>
      <c r="I85" s="84"/>
      <c r="J85" s="84"/>
      <c r="K85" s="84"/>
      <c r="L85" s="417"/>
      <c r="M85" s="496"/>
      <c r="N85" s="496"/>
      <c r="O85" s="496"/>
      <c r="P85" s="496"/>
      <c r="Q85" s="496"/>
      <c r="R85" s="418"/>
      <c r="T85" s="51"/>
      <c r="U85" s="51"/>
      <c r="V85" s="51"/>
      <c r="W85" s="51"/>
    </row>
    <row r="86" spans="1:23" x14ac:dyDescent="0.25">
      <c r="A86" s="522" t="s">
        <v>94</v>
      </c>
      <c r="B86" s="523"/>
      <c r="C86" s="523"/>
      <c r="D86" s="523"/>
      <c r="E86" s="523"/>
      <c r="F86" s="523"/>
      <c r="G86" s="523"/>
      <c r="H86" s="524"/>
      <c r="I86" s="84"/>
      <c r="J86" s="84"/>
      <c r="K86" s="84"/>
      <c r="L86" s="417"/>
      <c r="M86" s="496"/>
      <c r="N86" s="496"/>
      <c r="O86" s="496"/>
      <c r="P86" s="496"/>
      <c r="Q86" s="496"/>
      <c r="R86" s="418"/>
      <c r="T86" s="51"/>
      <c r="U86" s="51"/>
      <c r="V86" s="51"/>
      <c r="W86" s="51"/>
    </row>
    <row r="87" spans="1:23" x14ac:dyDescent="0.25">
      <c r="A87" s="522" t="s">
        <v>600</v>
      </c>
      <c r="B87" s="523"/>
      <c r="C87" s="523"/>
      <c r="D87" s="523"/>
      <c r="E87" s="523"/>
      <c r="F87" s="523"/>
      <c r="G87" s="523"/>
      <c r="H87" s="524"/>
      <c r="I87" s="84"/>
      <c r="J87" s="84"/>
      <c r="K87" s="84"/>
      <c r="L87" s="417"/>
      <c r="M87" s="496"/>
      <c r="N87" s="496"/>
      <c r="O87" s="496"/>
      <c r="P87" s="496"/>
      <c r="Q87" s="496"/>
      <c r="R87" s="418"/>
      <c r="T87" s="51"/>
      <c r="U87" s="51"/>
      <c r="V87" s="51"/>
      <c r="W87" s="51"/>
    </row>
    <row r="88" spans="1:23" x14ac:dyDescent="0.25">
      <c r="A88" s="519"/>
      <c r="B88" s="520"/>
      <c r="C88" s="520"/>
      <c r="D88" s="520"/>
      <c r="E88" s="520"/>
      <c r="F88" s="520"/>
      <c r="G88" s="520"/>
      <c r="H88" s="521"/>
      <c r="I88" s="84"/>
      <c r="J88" s="84"/>
      <c r="K88" s="84"/>
      <c r="L88" s="417"/>
      <c r="M88" s="496"/>
      <c r="N88" s="496"/>
      <c r="O88" s="496"/>
      <c r="P88" s="496"/>
      <c r="Q88" s="496"/>
      <c r="R88" s="418"/>
      <c r="T88" s="51"/>
      <c r="U88" s="51"/>
      <c r="V88" s="51"/>
      <c r="W88" s="51"/>
    </row>
    <row r="89" spans="1:23" x14ac:dyDescent="0.25">
      <c r="A89" s="519"/>
      <c r="B89" s="520"/>
      <c r="C89" s="520"/>
      <c r="D89" s="520"/>
      <c r="E89" s="520"/>
      <c r="F89" s="520"/>
      <c r="G89" s="520"/>
      <c r="H89" s="521"/>
      <c r="I89" s="84"/>
      <c r="J89" s="84"/>
      <c r="K89" s="84"/>
      <c r="L89" s="417"/>
      <c r="M89" s="496"/>
      <c r="N89" s="496"/>
      <c r="O89" s="496"/>
      <c r="P89" s="496"/>
      <c r="Q89" s="496"/>
      <c r="R89" s="418"/>
      <c r="T89" s="51"/>
      <c r="U89" s="51"/>
      <c r="V89" s="51"/>
      <c r="W89" s="51"/>
    </row>
    <row r="90" spans="1:23" x14ac:dyDescent="0.25">
      <c r="A90" s="519"/>
      <c r="B90" s="520"/>
      <c r="C90" s="520"/>
      <c r="D90" s="520"/>
      <c r="E90" s="520"/>
      <c r="F90" s="520"/>
      <c r="G90" s="520"/>
      <c r="H90" s="521"/>
      <c r="I90" s="84"/>
      <c r="J90" s="84"/>
      <c r="K90" s="84"/>
      <c r="L90" s="417"/>
      <c r="M90" s="496"/>
      <c r="N90" s="496"/>
      <c r="O90" s="496"/>
      <c r="P90" s="496"/>
      <c r="Q90" s="496"/>
      <c r="R90" s="418"/>
      <c r="T90" s="51"/>
      <c r="U90" s="51"/>
      <c r="V90" s="51"/>
      <c r="W90" s="51"/>
    </row>
  </sheetData>
  <sheetProtection sheet="1" objects="1" scenarios="1"/>
  <mergeCells count="141">
    <mergeCell ref="L87:R87"/>
    <mergeCell ref="L88:R88"/>
    <mergeCell ref="L89:R89"/>
    <mergeCell ref="L90:R90"/>
    <mergeCell ref="I26:K26"/>
    <mergeCell ref="L78:R78"/>
    <mergeCell ref="L79:R79"/>
    <mergeCell ref="L80:R80"/>
    <mergeCell ref="L81:R81"/>
    <mergeCell ref="L82:R82"/>
    <mergeCell ref="L83:R83"/>
    <mergeCell ref="L84:R84"/>
    <mergeCell ref="L85:R85"/>
    <mergeCell ref="L86:R86"/>
    <mergeCell ref="L69:R69"/>
    <mergeCell ref="L70:R70"/>
    <mergeCell ref="L71:R71"/>
    <mergeCell ref="L72:R72"/>
    <mergeCell ref="L73:R73"/>
    <mergeCell ref="L74:R74"/>
    <mergeCell ref="L75:R75"/>
    <mergeCell ref="L76:R76"/>
    <mergeCell ref="L77:R77"/>
    <mergeCell ref="L36:R36"/>
    <mergeCell ref="L37:R37"/>
    <mergeCell ref="L38:R38"/>
    <mergeCell ref="L39:R39"/>
    <mergeCell ref="L40:R40"/>
    <mergeCell ref="L41:R41"/>
    <mergeCell ref="L42:R42"/>
    <mergeCell ref="L43:R43"/>
    <mergeCell ref="L44:R44"/>
    <mergeCell ref="L27:R27"/>
    <mergeCell ref="L28:R28"/>
    <mergeCell ref="L29:R29"/>
    <mergeCell ref="L30:R30"/>
    <mergeCell ref="L31:R31"/>
    <mergeCell ref="L32:R32"/>
    <mergeCell ref="L33:R33"/>
    <mergeCell ref="L34:R34"/>
    <mergeCell ref="L35:R35"/>
    <mergeCell ref="A34:H34"/>
    <mergeCell ref="A35:H35"/>
    <mergeCell ref="A36:H36"/>
    <mergeCell ref="A37:H37"/>
    <mergeCell ref="A33:H33"/>
    <mergeCell ref="A29:H29"/>
    <mergeCell ref="A30:H30"/>
    <mergeCell ref="A31:H31"/>
    <mergeCell ref="A32:H32"/>
    <mergeCell ref="L45:R45"/>
    <mergeCell ref="L46:R46"/>
    <mergeCell ref="L47:R47"/>
    <mergeCell ref="L48:R48"/>
    <mergeCell ref="L49:R49"/>
    <mergeCell ref="L50:R50"/>
    <mergeCell ref="L51:R51"/>
    <mergeCell ref="L52:R52"/>
    <mergeCell ref="L53:R53"/>
    <mergeCell ref="L54:R54"/>
    <mergeCell ref="L55:R55"/>
    <mergeCell ref="L56:R56"/>
    <mergeCell ref="L57:R57"/>
    <mergeCell ref="L58:R58"/>
    <mergeCell ref="L59:R59"/>
    <mergeCell ref="L60:R60"/>
    <mergeCell ref="L61:R61"/>
    <mergeCell ref="L62:R62"/>
    <mergeCell ref="L63:R63"/>
    <mergeCell ref="L64:R64"/>
    <mergeCell ref="L65:R65"/>
    <mergeCell ref="L66:R66"/>
    <mergeCell ref="L67:R67"/>
    <mergeCell ref="L68:R68"/>
    <mergeCell ref="A78:H78"/>
    <mergeCell ref="A80:H80"/>
    <mergeCell ref="A81:H81"/>
    <mergeCell ref="A69:H69"/>
    <mergeCell ref="A70:H70"/>
    <mergeCell ref="A71:H71"/>
    <mergeCell ref="A72:H72"/>
    <mergeCell ref="A77:H77"/>
    <mergeCell ref="A73:H73"/>
    <mergeCell ref="A74:H74"/>
    <mergeCell ref="A75:H75"/>
    <mergeCell ref="A76:H76"/>
    <mergeCell ref="A54:H54"/>
    <mergeCell ref="A55:H55"/>
    <mergeCell ref="A63:H63"/>
    <mergeCell ref="A64:H64"/>
    <mergeCell ref="A68:H68"/>
    <mergeCell ref="A60:H60"/>
    <mergeCell ref="A61:H61"/>
    <mergeCell ref="A62:H62"/>
    <mergeCell ref="A65:H65"/>
    <mergeCell ref="A66:H66"/>
    <mergeCell ref="A67:H67"/>
    <mergeCell ref="A59:H59"/>
    <mergeCell ref="A88:H88"/>
    <mergeCell ref="A89:H89"/>
    <mergeCell ref="A90:H90"/>
    <mergeCell ref="A79:H79"/>
    <mergeCell ref="A83:H83"/>
    <mergeCell ref="A84:H84"/>
    <mergeCell ref="A85:H85"/>
    <mergeCell ref="A86:H86"/>
    <mergeCell ref="A87:H87"/>
    <mergeCell ref="C1:F1"/>
    <mergeCell ref="C2:F2"/>
    <mergeCell ref="C3:F3"/>
    <mergeCell ref="C4:F4"/>
    <mergeCell ref="C5:F5"/>
    <mergeCell ref="A53:H53"/>
    <mergeCell ref="A56:H56"/>
    <mergeCell ref="A57:H57"/>
    <mergeCell ref="A58:H58"/>
    <mergeCell ref="A48:H48"/>
    <mergeCell ref="A49:H49"/>
    <mergeCell ref="A50:H50"/>
    <mergeCell ref="A51:H51"/>
    <mergeCell ref="A52:H52"/>
    <mergeCell ref="A43:H43"/>
    <mergeCell ref="A44:H44"/>
    <mergeCell ref="A45:H45"/>
    <mergeCell ref="A46:H46"/>
    <mergeCell ref="A47:H47"/>
    <mergeCell ref="A39:H39"/>
    <mergeCell ref="A40:H40"/>
    <mergeCell ref="A41:H41"/>
    <mergeCell ref="A42:H42"/>
    <mergeCell ref="A28:H28"/>
    <mergeCell ref="O1:R1"/>
    <mergeCell ref="O2:R2"/>
    <mergeCell ref="O3:R3"/>
    <mergeCell ref="O4:R4"/>
    <mergeCell ref="O5:R5"/>
    <mergeCell ref="I1:L1"/>
    <mergeCell ref="I2:L2"/>
    <mergeCell ref="I3:L3"/>
    <mergeCell ref="I4:L4"/>
    <mergeCell ref="I5:L5"/>
  </mergeCells>
  <pageMargins left="0.7" right="0.7" top="0.75" bottom="0.75" header="0.3" footer="0.3"/>
  <pageSetup paperSize="9" orientation="portrait" r:id="rId1"/>
  <ignoredErrors>
    <ignoredError sqref="O4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0E7C-727E-4709-A32E-B702A31168C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39"/>
  <sheetViews>
    <sheetView workbookViewId="0">
      <selection activeCell="L126" sqref="L126"/>
    </sheetView>
  </sheetViews>
  <sheetFormatPr defaultColWidth="9.140625" defaultRowHeight="15" x14ac:dyDescent="0.25"/>
  <cols>
    <col min="1" max="1" width="16.28515625" style="42" customWidth="1"/>
    <col min="2" max="9" width="9.140625" style="42"/>
    <col min="10" max="10" width="12.42578125" style="42" customWidth="1"/>
    <col min="11" max="11" width="12" style="42" customWidth="1"/>
    <col min="12" max="12" width="9.140625" style="42"/>
    <col min="13" max="13" width="13" style="42" customWidth="1"/>
    <col min="14" max="14" width="14.140625" style="42" customWidth="1"/>
    <col min="15" max="15" width="19.28515625" style="42" customWidth="1"/>
    <col min="16" max="16" width="9.140625" style="42"/>
    <col min="17" max="17" width="13.5703125" style="42" customWidth="1"/>
    <col min="18" max="19" width="9.140625" style="42"/>
    <col min="20" max="23" width="13" style="42" customWidth="1"/>
    <col min="24" max="24" width="13.7109375" style="42" customWidth="1"/>
    <col min="25" max="16384" width="9.140625" style="42"/>
  </cols>
  <sheetData>
    <row r="1" spans="1:18" ht="18.75" x14ac:dyDescent="0.3">
      <c r="A1" s="202" t="s">
        <v>510</v>
      </c>
      <c r="B1" s="202"/>
      <c r="C1" s="202"/>
      <c r="D1" s="202"/>
      <c r="E1" s="202"/>
      <c r="F1" s="202"/>
      <c r="G1" s="202"/>
      <c r="H1" s="202"/>
      <c r="I1" s="202"/>
      <c r="J1" s="202"/>
      <c r="K1" s="202" t="s">
        <v>511</v>
      </c>
      <c r="L1" s="202"/>
      <c r="M1" s="202"/>
      <c r="N1" s="202"/>
    </row>
    <row r="3" spans="1:18" x14ac:dyDescent="0.25">
      <c r="A3" s="210" t="s">
        <v>512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</row>
    <row r="4" spans="1:18" x14ac:dyDescent="0.25">
      <c r="Q4" s="86" t="s">
        <v>306</v>
      </c>
    </row>
    <row r="5" spans="1:18" x14ac:dyDescent="0.25">
      <c r="A5" s="207" t="s">
        <v>74</v>
      </c>
      <c r="C5" s="203" t="s">
        <v>124</v>
      </c>
      <c r="D5" s="204"/>
      <c r="F5" s="203" t="s">
        <v>242</v>
      </c>
      <c r="G5" s="204"/>
      <c r="I5" s="203" t="s">
        <v>420</v>
      </c>
      <c r="J5" s="204"/>
      <c r="L5" s="203" t="s">
        <v>429</v>
      </c>
      <c r="M5" s="204"/>
      <c r="O5" s="207" t="s">
        <v>229</v>
      </c>
      <c r="Q5" s="87"/>
    </row>
    <row r="6" spans="1:18" x14ac:dyDescent="0.25">
      <c r="A6" s="208" t="s">
        <v>113</v>
      </c>
      <c r="C6" s="144" t="s">
        <v>71</v>
      </c>
      <c r="D6" s="145"/>
      <c r="F6" s="144" t="s">
        <v>126</v>
      </c>
      <c r="G6" s="145"/>
      <c r="I6" s="144" t="s">
        <v>421</v>
      </c>
      <c r="J6" s="145"/>
      <c r="L6" s="144" t="s">
        <v>218</v>
      </c>
      <c r="M6" s="145"/>
      <c r="O6" s="208" t="s">
        <v>230</v>
      </c>
      <c r="Q6" s="86">
        <v>14</v>
      </c>
    </row>
    <row r="7" spans="1:18" x14ac:dyDescent="0.25">
      <c r="A7" s="208"/>
      <c r="C7" s="205"/>
      <c r="D7" s="206"/>
      <c r="F7" s="144" t="s">
        <v>246</v>
      </c>
      <c r="G7" s="145"/>
      <c r="I7" s="144"/>
      <c r="J7" s="145"/>
      <c r="L7" s="205"/>
      <c r="M7" s="206"/>
      <c r="O7" s="209"/>
    </row>
    <row r="8" spans="1:18" x14ac:dyDescent="0.25">
      <c r="A8" s="209"/>
      <c r="F8" s="144" t="s">
        <v>448</v>
      </c>
      <c r="G8" s="145"/>
      <c r="I8" s="205"/>
      <c r="J8" s="206"/>
    </row>
    <row r="9" spans="1:18" x14ac:dyDescent="0.25">
      <c r="C9" s="203" t="s">
        <v>196</v>
      </c>
      <c r="D9" s="204"/>
      <c r="F9" s="144" t="s">
        <v>439</v>
      </c>
      <c r="G9" s="145"/>
    </row>
    <row r="10" spans="1:18" x14ac:dyDescent="0.25">
      <c r="A10" s="207" t="s">
        <v>65</v>
      </c>
      <c r="C10" s="144" t="s">
        <v>116</v>
      </c>
      <c r="D10" s="145"/>
      <c r="F10" s="144"/>
      <c r="G10" s="145"/>
      <c r="I10" s="203" t="s">
        <v>243</v>
      </c>
      <c r="J10" s="204"/>
      <c r="M10" s="207" t="s">
        <v>583</v>
      </c>
      <c r="O10" s="207" t="s">
        <v>250</v>
      </c>
    </row>
    <row r="11" spans="1:18" x14ac:dyDescent="0.25">
      <c r="A11" s="208" t="s">
        <v>122</v>
      </c>
      <c r="C11" s="144" t="s">
        <v>129</v>
      </c>
      <c r="D11" s="145"/>
      <c r="F11" s="205"/>
      <c r="G11" s="206"/>
      <c r="I11" s="144" t="s">
        <v>244</v>
      </c>
      <c r="J11" s="145"/>
      <c r="M11" s="208" t="s">
        <v>582</v>
      </c>
      <c r="O11" s="208" t="s">
        <v>255</v>
      </c>
    </row>
    <row r="12" spans="1:18" x14ac:dyDescent="0.25">
      <c r="A12" s="208" t="s">
        <v>302</v>
      </c>
      <c r="C12" s="205"/>
      <c r="D12" s="206"/>
      <c r="E12" s="61"/>
      <c r="G12" s="61"/>
      <c r="H12" s="61"/>
      <c r="I12" s="205"/>
      <c r="J12" s="206"/>
      <c r="M12" s="208" t="s">
        <v>354</v>
      </c>
      <c r="O12" s="208" t="s">
        <v>251</v>
      </c>
    </row>
    <row r="13" spans="1:18" x14ac:dyDescent="0.25">
      <c r="A13" s="208"/>
      <c r="C13" s="61"/>
      <c r="D13" s="61"/>
      <c r="E13" s="61"/>
      <c r="G13" s="61"/>
      <c r="H13" s="61"/>
      <c r="M13" s="208" t="s">
        <v>306</v>
      </c>
      <c r="O13" s="208" t="s">
        <v>581</v>
      </c>
    </row>
    <row r="14" spans="1:18" x14ac:dyDescent="0.25">
      <c r="A14" s="209"/>
      <c r="C14" s="203" t="s">
        <v>196</v>
      </c>
      <c r="D14" s="204"/>
      <c r="E14" s="61"/>
      <c r="G14" s="61"/>
      <c r="H14" s="61"/>
      <c r="I14" s="203" t="s">
        <v>336</v>
      </c>
      <c r="J14" s="204"/>
      <c r="M14" s="208" t="s">
        <v>353</v>
      </c>
      <c r="O14" s="208"/>
      <c r="P14" s="61"/>
      <c r="Q14" s="61"/>
      <c r="R14" s="61"/>
    </row>
    <row r="15" spans="1:18" x14ac:dyDescent="0.25">
      <c r="C15" s="144" t="s">
        <v>116</v>
      </c>
      <c r="D15" s="145"/>
      <c r="E15" s="61"/>
      <c r="G15" s="61"/>
      <c r="H15" s="61"/>
      <c r="I15" s="144" t="s">
        <v>337</v>
      </c>
      <c r="J15" s="145"/>
      <c r="M15" s="209"/>
      <c r="O15" s="209"/>
      <c r="P15" s="61"/>
      <c r="Q15" s="61"/>
      <c r="R15" s="61"/>
    </row>
    <row r="16" spans="1:18" x14ac:dyDescent="0.25">
      <c r="C16" s="205"/>
      <c r="D16" s="206"/>
      <c r="E16" s="61"/>
      <c r="G16" s="61" t="s">
        <v>616</v>
      </c>
      <c r="H16" s="61"/>
      <c r="I16" s="205"/>
      <c r="J16" s="206"/>
      <c r="M16" s="61"/>
      <c r="O16" s="61"/>
      <c r="P16" s="61"/>
      <c r="Q16" s="61"/>
      <c r="R16" s="61"/>
    </row>
    <row r="17" spans="1:18" x14ac:dyDescent="0.25">
      <c r="C17" s="61"/>
      <c r="D17" s="61"/>
      <c r="E17" s="61"/>
      <c r="G17" s="61" t="s">
        <v>504</v>
      </c>
      <c r="H17" s="61"/>
      <c r="I17" s="61"/>
      <c r="K17" s="61"/>
      <c r="O17" s="61"/>
      <c r="P17" s="61"/>
      <c r="Q17" s="61"/>
      <c r="R17" s="61"/>
    </row>
    <row r="18" spans="1:18" x14ac:dyDescent="0.25">
      <c r="A18" s="207" t="s">
        <v>65</v>
      </c>
      <c r="C18" s="207" t="s">
        <v>63</v>
      </c>
      <c r="E18" s="207" t="s">
        <v>62</v>
      </c>
      <c r="F18" s="61"/>
      <c r="G18" s="207" t="s">
        <v>50</v>
      </c>
      <c r="H18" s="61"/>
      <c r="I18" s="203" t="s">
        <v>65</v>
      </c>
      <c r="J18" s="204"/>
      <c r="K18" s="61"/>
      <c r="L18" s="203" t="s">
        <v>210</v>
      </c>
      <c r="M18" s="204"/>
      <c r="O18" s="61"/>
      <c r="P18" s="61"/>
      <c r="Q18" s="61"/>
      <c r="R18" s="61"/>
    </row>
    <row r="19" spans="1:18" x14ac:dyDescent="0.25">
      <c r="A19" s="208" t="s">
        <v>122</v>
      </c>
      <c r="C19" s="208" t="s">
        <v>389</v>
      </c>
      <c r="E19" s="208" t="s">
        <v>394</v>
      </c>
      <c r="F19" s="61"/>
      <c r="G19" s="208" t="s">
        <v>398</v>
      </c>
      <c r="H19" s="61"/>
      <c r="I19" s="144" t="s">
        <v>122</v>
      </c>
      <c r="J19" s="145"/>
      <c r="K19" s="61"/>
      <c r="L19" s="144" t="s">
        <v>211</v>
      </c>
      <c r="M19" s="145"/>
      <c r="P19" s="61"/>
      <c r="Q19" s="61"/>
      <c r="R19" s="61"/>
    </row>
    <row r="20" spans="1:18" x14ac:dyDescent="0.25">
      <c r="A20" s="208" t="s">
        <v>192</v>
      </c>
      <c r="C20" s="208" t="s">
        <v>388</v>
      </c>
      <c r="E20" s="208" t="s">
        <v>393</v>
      </c>
      <c r="F20" s="61"/>
      <c r="G20" s="208" t="s">
        <v>397</v>
      </c>
      <c r="H20" s="61"/>
      <c r="I20" s="144" t="s">
        <v>302</v>
      </c>
      <c r="J20" s="145"/>
      <c r="L20" s="205"/>
      <c r="M20" s="206"/>
    </row>
    <row r="21" spans="1:18" x14ac:dyDescent="0.25">
      <c r="A21" s="208" t="s">
        <v>193</v>
      </c>
      <c r="C21" s="208" t="s">
        <v>390</v>
      </c>
      <c r="E21" s="208" t="s">
        <v>392</v>
      </c>
      <c r="F21" s="61"/>
      <c r="G21" s="208" t="s">
        <v>396</v>
      </c>
      <c r="H21" s="61"/>
      <c r="I21" s="205"/>
      <c r="J21" s="206"/>
      <c r="M21" s="61"/>
    </row>
    <row r="22" spans="1:18" x14ac:dyDescent="0.25">
      <c r="A22" s="208" t="s">
        <v>194</v>
      </c>
      <c r="C22" s="208" t="s">
        <v>391</v>
      </c>
      <c r="E22" s="208"/>
      <c r="F22" s="61"/>
      <c r="G22" s="208" t="s">
        <v>60</v>
      </c>
      <c r="I22" s="323"/>
      <c r="J22" s="323"/>
      <c r="P22" s="61"/>
      <c r="Q22" s="61"/>
      <c r="R22" s="61"/>
    </row>
    <row r="23" spans="1:18" x14ac:dyDescent="0.25">
      <c r="A23" s="208" t="s">
        <v>302</v>
      </c>
      <c r="C23" s="208"/>
      <c r="E23" s="209"/>
      <c r="F23" s="61"/>
      <c r="G23" s="208" t="s">
        <v>612</v>
      </c>
      <c r="P23" s="61"/>
      <c r="Q23" s="61"/>
      <c r="R23" s="61"/>
    </row>
    <row r="24" spans="1:18" x14ac:dyDescent="0.25">
      <c r="A24" s="209"/>
      <c r="C24" s="209"/>
      <c r="G24" s="208" t="s">
        <v>613</v>
      </c>
      <c r="P24" s="61"/>
      <c r="Q24" s="61"/>
      <c r="R24" s="61"/>
    </row>
    <row r="25" spans="1:18" x14ac:dyDescent="0.25">
      <c r="A25" s="61"/>
      <c r="C25" s="60"/>
      <c r="G25" s="208" t="s">
        <v>614</v>
      </c>
      <c r="K25" s="61"/>
      <c r="P25" s="61"/>
      <c r="Q25" s="61"/>
      <c r="R25" s="61"/>
    </row>
    <row r="26" spans="1:18" x14ac:dyDescent="0.25">
      <c r="A26" s="61"/>
      <c r="G26" s="209"/>
      <c r="K26" s="61"/>
      <c r="P26" s="61"/>
      <c r="Q26" s="61"/>
      <c r="R26" s="61"/>
    </row>
    <row r="27" spans="1:18" x14ac:dyDescent="0.25">
      <c r="A27" s="210" t="s">
        <v>513</v>
      </c>
      <c r="B27" s="210"/>
      <c r="C27" s="210"/>
      <c r="D27" s="210"/>
      <c r="E27" s="210"/>
      <c r="F27" s="210"/>
      <c r="G27" s="210"/>
      <c r="H27" s="210"/>
      <c r="I27" s="210"/>
      <c r="J27" s="210"/>
      <c r="K27" s="211"/>
      <c r="L27" s="210"/>
      <c r="M27" s="210"/>
      <c r="N27" s="210"/>
      <c r="O27" s="210"/>
      <c r="P27" s="61"/>
      <c r="Q27" s="61"/>
      <c r="R27" s="61"/>
    </row>
    <row r="28" spans="1:18" x14ac:dyDescent="0.25">
      <c r="K28" s="61"/>
      <c r="P28" s="61"/>
      <c r="Q28" s="61"/>
      <c r="R28" s="61"/>
    </row>
    <row r="29" spans="1:18" x14ac:dyDescent="0.25">
      <c r="A29" s="136"/>
      <c r="B29" s="136" t="s">
        <v>450</v>
      </c>
      <c r="C29" s="138" t="s">
        <v>504</v>
      </c>
      <c r="E29" s="137"/>
      <c r="F29" s="149" t="s">
        <v>504</v>
      </c>
      <c r="P29" s="61"/>
      <c r="Q29" s="61"/>
      <c r="R29" s="61"/>
    </row>
    <row r="30" spans="1:18" x14ac:dyDescent="0.25">
      <c r="A30" s="138"/>
      <c r="B30" s="138" t="s">
        <v>107</v>
      </c>
      <c r="C30" s="138" t="s">
        <v>63</v>
      </c>
      <c r="E30" s="149" t="s">
        <v>451</v>
      </c>
      <c r="F30" s="149" t="s">
        <v>62</v>
      </c>
      <c r="H30" s="70"/>
      <c r="I30" s="90" t="s">
        <v>453</v>
      </c>
      <c r="J30" s="148" t="s">
        <v>63</v>
      </c>
      <c r="L30" s="42" t="s">
        <v>616</v>
      </c>
    </row>
    <row r="31" spans="1:18" x14ac:dyDescent="0.25">
      <c r="A31" s="138">
        <v>1</v>
      </c>
      <c r="B31" s="139" t="s">
        <v>449</v>
      </c>
      <c r="C31" s="140">
        <v>1E-3</v>
      </c>
      <c r="E31" s="150" t="s">
        <v>452</v>
      </c>
      <c r="F31" s="151">
        <v>10</v>
      </c>
      <c r="H31" s="70"/>
      <c r="I31" s="75" t="s">
        <v>452</v>
      </c>
      <c r="J31" s="77">
        <v>10</v>
      </c>
      <c r="L31" s="157" t="s">
        <v>456</v>
      </c>
      <c r="M31" s="158" t="s">
        <v>60</v>
      </c>
      <c r="O31" s="110" t="s">
        <v>107</v>
      </c>
      <c r="P31" s="110" t="s">
        <v>62</v>
      </c>
    </row>
    <row r="32" spans="1:18" x14ac:dyDescent="0.25">
      <c r="A32" s="138">
        <v>2</v>
      </c>
      <c r="B32" s="141" t="s">
        <v>62</v>
      </c>
      <c r="C32" s="142">
        <v>1</v>
      </c>
      <c r="E32" s="152" t="s">
        <v>63</v>
      </c>
      <c r="F32" s="153">
        <v>1</v>
      </c>
      <c r="H32" s="70"/>
      <c r="I32" s="89" t="s">
        <v>63</v>
      </c>
      <c r="J32" s="91">
        <v>1</v>
      </c>
      <c r="L32" s="159" t="s">
        <v>399</v>
      </c>
      <c r="M32" s="160">
        <v>0.06</v>
      </c>
      <c r="O32" s="92" t="s">
        <v>449</v>
      </c>
      <c r="P32" s="112">
        <v>1E-3</v>
      </c>
    </row>
    <row r="33" spans="1:17" x14ac:dyDescent="0.25">
      <c r="A33" s="138">
        <v>3</v>
      </c>
      <c r="B33" s="141" t="s">
        <v>393</v>
      </c>
      <c r="C33" s="142">
        <v>10</v>
      </c>
      <c r="D33" s="110"/>
      <c r="E33" s="152" t="s">
        <v>389</v>
      </c>
      <c r="F33" s="153">
        <v>10</v>
      </c>
      <c r="H33" s="70"/>
      <c r="I33" s="89" t="s">
        <v>389</v>
      </c>
      <c r="J33" s="91">
        <v>10</v>
      </c>
      <c r="K33" s="61"/>
      <c r="L33" s="161" t="s">
        <v>50</v>
      </c>
      <c r="M33" s="162">
        <v>60</v>
      </c>
      <c r="O33" s="94" t="s">
        <v>62</v>
      </c>
      <c r="P33" s="113">
        <v>1</v>
      </c>
      <c r="Q33" s="86" t="s">
        <v>296</v>
      </c>
    </row>
    <row r="34" spans="1:17" x14ac:dyDescent="0.25">
      <c r="A34" s="143">
        <v>4</v>
      </c>
      <c r="B34" s="141" t="s">
        <v>392</v>
      </c>
      <c r="C34" s="142">
        <v>100</v>
      </c>
      <c r="D34" s="110"/>
      <c r="E34" s="152" t="s">
        <v>388</v>
      </c>
      <c r="F34" s="153">
        <v>100</v>
      </c>
      <c r="H34" s="70"/>
      <c r="I34" s="89" t="s">
        <v>388</v>
      </c>
      <c r="J34" s="91">
        <v>100</v>
      </c>
      <c r="K34" s="61"/>
      <c r="L34" s="161" t="s">
        <v>397</v>
      </c>
      <c r="M34" s="162">
        <v>600</v>
      </c>
      <c r="O34" s="94" t="s">
        <v>393</v>
      </c>
      <c r="P34" s="113">
        <v>10</v>
      </c>
    </row>
    <row r="35" spans="1:17" x14ac:dyDescent="0.25">
      <c r="A35" s="143">
        <v>5</v>
      </c>
      <c r="B35" s="144"/>
      <c r="C35" s="145"/>
      <c r="D35" s="110"/>
      <c r="E35" s="152" t="s">
        <v>390</v>
      </c>
      <c r="F35" s="153">
        <v>1000</v>
      </c>
      <c r="H35" s="70"/>
      <c r="I35" s="89" t="s">
        <v>390</v>
      </c>
      <c r="J35" s="91">
        <v>1000</v>
      </c>
      <c r="K35" s="61"/>
      <c r="L35" s="161" t="s">
        <v>396</v>
      </c>
      <c r="M35" s="162">
        <v>6000</v>
      </c>
      <c r="O35" s="94" t="s">
        <v>392</v>
      </c>
      <c r="P35" s="113">
        <v>100</v>
      </c>
      <c r="Q35" s="86">
        <v>12</v>
      </c>
    </row>
    <row r="36" spans="1:17" x14ac:dyDescent="0.25">
      <c r="A36" s="143">
        <v>6</v>
      </c>
      <c r="B36" s="146"/>
      <c r="C36" s="147"/>
      <c r="D36" s="110"/>
      <c r="E36" s="154"/>
      <c r="F36" s="155"/>
      <c r="H36" s="70"/>
      <c r="I36" s="76"/>
      <c r="J36" s="78"/>
      <c r="L36" s="161" t="s">
        <v>615</v>
      </c>
      <c r="M36" s="162">
        <v>1E-3</v>
      </c>
      <c r="O36" s="63"/>
      <c r="P36" s="59"/>
    </row>
    <row r="37" spans="1:17" x14ac:dyDescent="0.25">
      <c r="L37" s="161" t="s">
        <v>60</v>
      </c>
      <c r="M37" s="162">
        <v>1</v>
      </c>
    </row>
    <row r="38" spans="1:17" x14ac:dyDescent="0.25">
      <c r="L38" s="161" t="s">
        <v>613</v>
      </c>
      <c r="M38" s="162">
        <v>10</v>
      </c>
    </row>
    <row r="39" spans="1:17" x14ac:dyDescent="0.25">
      <c r="L39" s="161" t="s">
        <v>614</v>
      </c>
      <c r="M39" s="162">
        <v>100</v>
      </c>
    </row>
    <row r="40" spans="1:17" x14ac:dyDescent="0.25">
      <c r="L40" s="336"/>
      <c r="M40" s="337"/>
    </row>
    <row r="43" spans="1:17" x14ac:dyDescent="0.25">
      <c r="L43" s="157" t="s">
        <v>456</v>
      </c>
      <c r="M43" s="158" t="s">
        <v>50</v>
      </c>
    </row>
    <row r="44" spans="1:17" x14ac:dyDescent="0.25">
      <c r="L44" s="159" t="s">
        <v>399</v>
      </c>
      <c r="M44" s="160">
        <v>1E-3</v>
      </c>
    </row>
    <row r="45" spans="1:17" x14ac:dyDescent="0.25">
      <c r="L45" s="161" t="s">
        <v>50</v>
      </c>
      <c r="M45" s="162">
        <v>1</v>
      </c>
    </row>
    <row r="46" spans="1:17" x14ac:dyDescent="0.25">
      <c r="L46" s="161" t="s">
        <v>397</v>
      </c>
      <c r="M46" s="162">
        <v>10</v>
      </c>
    </row>
    <row r="47" spans="1:17" x14ac:dyDescent="0.25">
      <c r="L47" s="161" t="s">
        <v>396</v>
      </c>
      <c r="M47" s="162">
        <v>100</v>
      </c>
    </row>
    <row r="48" spans="1:17" x14ac:dyDescent="0.25">
      <c r="L48" s="161" t="s">
        <v>615</v>
      </c>
      <c r="M48" s="162">
        <v>1.666E-5</v>
      </c>
    </row>
    <row r="49" spans="11:14" x14ac:dyDescent="0.25">
      <c r="L49" s="161" t="s">
        <v>60</v>
      </c>
      <c r="M49" s="162">
        <v>1.6660000000000001E-2</v>
      </c>
    </row>
    <row r="50" spans="11:14" x14ac:dyDescent="0.25">
      <c r="L50" s="161" t="s">
        <v>613</v>
      </c>
      <c r="M50" s="162">
        <v>0.16666</v>
      </c>
    </row>
    <row r="51" spans="11:14" x14ac:dyDescent="0.25">
      <c r="L51" s="161" t="s">
        <v>614</v>
      </c>
      <c r="M51" s="162">
        <v>1.6666000000000001</v>
      </c>
    </row>
    <row r="52" spans="11:14" x14ac:dyDescent="0.25">
      <c r="L52" s="336"/>
      <c r="M52" s="337"/>
    </row>
    <row r="55" spans="11:14" x14ac:dyDescent="0.25">
      <c r="L55" s="157" t="s">
        <v>456</v>
      </c>
      <c r="M55" s="163" t="s">
        <v>399</v>
      </c>
    </row>
    <row r="56" spans="11:14" x14ac:dyDescent="0.25">
      <c r="L56" s="159" t="s">
        <v>399</v>
      </c>
      <c r="M56" s="160">
        <v>1</v>
      </c>
    </row>
    <row r="57" spans="11:14" x14ac:dyDescent="0.25">
      <c r="K57" s="110"/>
      <c r="L57" s="161" t="s">
        <v>50</v>
      </c>
      <c r="M57" s="162">
        <v>1000</v>
      </c>
      <c r="N57" s="110"/>
    </row>
    <row r="58" spans="11:14" x14ac:dyDescent="0.25">
      <c r="L58" s="161" t="s">
        <v>397</v>
      </c>
      <c r="M58" s="162">
        <v>10000</v>
      </c>
    </row>
    <row r="59" spans="11:14" x14ac:dyDescent="0.25">
      <c r="L59" s="161" t="s">
        <v>396</v>
      </c>
      <c r="M59" s="162">
        <v>100000</v>
      </c>
    </row>
    <row r="60" spans="11:14" x14ac:dyDescent="0.25">
      <c r="L60" s="161" t="s">
        <v>615</v>
      </c>
      <c r="M60" s="162">
        <v>1.6660000000000001E-2</v>
      </c>
    </row>
    <row r="61" spans="11:14" x14ac:dyDescent="0.25">
      <c r="L61" s="161" t="s">
        <v>60</v>
      </c>
      <c r="M61" s="162">
        <v>16.666</v>
      </c>
    </row>
    <row r="62" spans="11:14" x14ac:dyDescent="0.25">
      <c r="L62" s="161" t="s">
        <v>613</v>
      </c>
      <c r="M62" s="162">
        <v>166.66</v>
      </c>
    </row>
    <row r="63" spans="11:14" x14ac:dyDescent="0.25">
      <c r="L63" s="161" t="s">
        <v>614</v>
      </c>
      <c r="M63" s="162">
        <v>1666.6</v>
      </c>
    </row>
    <row r="64" spans="11:14" x14ac:dyDescent="0.25">
      <c r="L64" s="336"/>
      <c r="M64" s="337"/>
    </row>
    <row r="71" spans="1:15" x14ac:dyDescent="0.25">
      <c r="A71" s="210" t="s">
        <v>514</v>
      </c>
      <c r="B71" s="210"/>
      <c r="C71" s="210"/>
      <c r="D71" s="210"/>
      <c r="E71" s="210"/>
      <c r="F71" s="210"/>
      <c r="G71" s="210"/>
      <c r="H71" s="210"/>
      <c r="I71" s="210"/>
      <c r="J71" s="210"/>
      <c r="K71" s="210"/>
      <c r="L71" s="210"/>
      <c r="M71" s="210"/>
      <c r="N71" s="210"/>
      <c r="O71" s="210"/>
    </row>
    <row r="73" spans="1:15" x14ac:dyDescent="0.25">
      <c r="A73" s="110" t="s">
        <v>232</v>
      </c>
    </row>
    <row r="74" spans="1:15" x14ac:dyDescent="0.25">
      <c r="A74" s="62"/>
      <c r="B74" s="111" t="s">
        <v>44</v>
      </c>
      <c r="C74" s="112" t="s">
        <v>232</v>
      </c>
    </row>
    <row r="75" spans="1:15" x14ac:dyDescent="0.25">
      <c r="A75" s="94">
        <v>1</v>
      </c>
      <c r="B75" s="95">
        <v>50</v>
      </c>
      <c r="C75" s="113">
        <v>1.8</v>
      </c>
    </row>
    <row r="76" spans="1:15" x14ac:dyDescent="0.25">
      <c r="A76" s="94">
        <v>2</v>
      </c>
      <c r="B76" s="95">
        <v>60</v>
      </c>
      <c r="C76" s="113">
        <v>2.2000000000000002</v>
      </c>
    </row>
    <row r="77" spans="1:15" x14ac:dyDescent="0.25">
      <c r="A77" s="94">
        <v>3</v>
      </c>
      <c r="B77" s="95">
        <v>70</v>
      </c>
      <c r="C77" s="113">
        <v>2.5</v>
      </c>
    </row>
    <row r="78" spans="1:15" x14ac:dyDescent="0.25">
      <c r="A78" s="94">
        <v>4</v>
      </c>
      <c r="B78" s="95">
        <v>80</v>
      </c>
      <c r="C78" s="113">
        <v>2.9</v>
      </c>
    </row>
    <row r="79" spans="1:15" x14ac:dyDescent="0.25">
      <c r="A79" s="94">
        <v>5</v>
      </c>
      <c r="B79" s="95">
        <v>90</v>
      </c>
      <c r="C79" s="113">
        <v>3.2</v>
      </c>
    </row>
    <row r="80" spans="1:15" x14ac:dyDescent="0.25">
      <c r="A80" s="94">
        <v>6</v>
      </c>
      <c r="B80" s="95">
        <v>100</v>
      </c>
      <c r="C80" s="113">
        <v>3.6</v>
      </c>
    </row>
    <row r="81" spans="1:15" x14ac:dyDescent="0.25">
      <c r="A81" s="94">
        <v>7</v>
      </c>
      <c r="B81" s="95">
        <v>110</v>
      </c>
      <c r="C81" s="113">
        <v>3.9</v>
      </c>
    </row>
    <row r="82" spans="1:15" x14ac:dyDescent="0.25">
      <c r="A82" s="96">
        <v>8</v>
      </c>
      <c r="B82" s="98">
        <v>120</v>
      </c>
      <c r="C82" s="114">
        <v>4.3</v>
      </c>
    </row>
    <row r="85" spans="1:15" x14ac:dyDescent="0.25">
      <c r="A85" s="210" t="s">
        <v>515</v>
      </c>
      <c r="B85" s="210"/>
      <c r="C85" s="210"/>
      <c r="D85" s="210"/>
      <c r="E85" s="210"/>
      <c r="F85" s="210"/>
      <c r="G85" s="210"/>
      <c r="H85" s="210"/>
      <c r="I85" s="210"/>
      <c r="J85" s="210"/>
      <c r="K85" s="210"/>
      <c r="L85" s="210"/>
      <c r="M85" s="210"/>
      <c r="N85" s="210"/>
      <c r="O85" s="210"/>
    </row>
    <row r="89" spans="1:15" x14ac:dyDescent="0.25">
      <c r="C89" s="42" t="s">
        <v>297</v>
      </c>
      <c r="D89" s="42" t="s">
        <v>298</v>
      </c>
      <c r="E89" s="42" t="s">
        <v>300</v>
      </c>
      <c r="F89" s="42" t="s">
        <v>355</v>
      </c>
      <c r="G89" s="42" t="s">
        <v>355</v>
      </c>
    </row>
    <row r="90" spans="1:15" x14ac:dyDescent="0.25">
      <c r="D90" s="42" t="s">
        <v>299</v>
      </c>
      <c r="E90" s="42" t="s">
        <v>301</v>
      </c>
      <c r="F90" s="42" t="s">
        <v>356</v>
      </c>
      <c r="G90" s="42" t="s">
        <v>357</v>
      </c>
    </row>
    <row r="91" spans="1:15" x14ac:dyDescent="0.25">
      <c r="C91" s="42" t="s">
        <v>80</v>
      </c>
    </row>
    <row r="92" spans="1:15" x14ac:dyDescent="0.25">
      <c r="C92" s="92"/>
      <c r="D92" s="93" t="s">
        <v>583</v>
      </c>
      <c r="E92" s="93" t="s">
        <v>353</v>
      </c>
      <c r="F92" s="93" t="s">
        <v>354</v>
      </c>
      <c r="G92" s="93" t="s">
        <v>306</v>
      </c>
      <c r="H92" s="332" t="s">
        <v>582</v>
      </c>
    </row>
    <row r="93" spans="1:15" x14ac:dyDescent="0.25">
      <c r="C93" s="94">
        <v>1</v>
      </c>
      <c r="D93" s="95">
        <v>0.5</v>
      </c>
      <c r="E93" s="95">
        <v>0.5</v>
      </c>
      <c r="F93" s="95">
        <v>0.5</v>
      </c>
      <c r="G93" s="95">
        <v>0.5</v>
      </c>
      <c r="H93" s="113">
        <v>0.6</v>
      </c>
    </row>
    <row r="94" spans="1:15" x14ac:dyDescent="0.25">
      <c r="C94" s="94">
        <v>2</v>
      </c>
      <c r="D94" s="95">
        <v>0.56000000000000005</v>
      </c>
      <c r="E94" s="95">
        <v>0.56000000000000005</v>
      </c>
      <c r="F94" s="95">
        <v>0.56000000000000005</v>
      </c>
      <c r="G94" s="95">
        <v>0.56000000000000005</v>
      </c>
      <c r="H94" s="113">
        <v>0.7</v>
      </c>
    </row>
    <row r="95" spans="1:15" x14ac:dyDescent="0.25">
      <c r="C95" s="94">
        <v>3</v>
      </c>
      <c r="D95" s="95">
        <v>0.63</v>
      </c>
      <c r="E95" s="95">
        <v>0.63</v>
      </c>
      <c r="F95" s="95">
        <v>0.63</v>
      </c>
      <c r="G95" s="95">
        <v>0.63</v>
      </c>
      <c r="H95" s="113">
        <v>0.8</v>
      </c>
    </row>
    <row r="96" spans="1:15" x14ac:dyDescent="0.25">
      <c r="C96" s="94">
        <v>4</v>
      </c>
      <c r="D96" s="95">
        <v>0.71</v>
      </c>
      <c r="E96" s="95">
        <v>0.71</v>
      </c>
      <c r="F96" s="95">
        <v>0.71</v>
      </c>
      <c r="G96" s="95">
        <v>0.71</v>
      </c>
      <c r="H96" s="113">
        <v>0.9</v>
      </c>
    </row>
    <row r="97" spans="3:8" x14ac:dyDescent="0.25">
      <c r="C97" s="94">
        <v>5</v>
      </c>
      <c r="D97" s="95">
        <v>0.8</v>
      </c>
      <c r="E97" s="95">
        <v>0.8</v>
      </c>
      <c r="F97" s="95">
        <v>0.8</v>
      </c>
      <c r="G97" s="95">
        <v>0.8</v>
      </c>
      <c r="H97" s="333">
        <v>1</v>
      </c>
    </row>
    <row r="98" spans="3:8" x14ac:dyDescent="0.25">
      <c r="C98" s="94">
        <v>6</v>
      </c>
      <c r="D98" s="95">
        <v>0.9</v>
      </c>
      <c r="E98" s="95">
        <v>0.9</v>
      </c>
      <c r="F98" s="95">
        <v>0.9</v>
      </c>
      <c r="G98" s="95">
        <v>0.9</v>
      </c>
      <c r="H98" s="113">
        <v>1.2</v>
      </c>
    </row>
    <row r="99" spans="3:8" x14ac:dyDescent="0.25">
      <c r="C99" s="94">
        <v>7</v>
      </c>
      <c r="D99" s="131">
        <v>1</v>
      </c>
      <c r="E99" s="131">
        <v>1</v>
      </c>
      <c r="F99" s="131">
        <v>1</v>
      </c>
      <c r="G99" s="131">
        <v>1</v>
      </c>
      <c r="H99" s="113">
        <v>1.4</v>
      </c>
    </row>
    <row r="100" spans="3:8" x14ac:dyDescent="0.25">
      <c r="C100" s="94">
        <v>8</v>
      </c>
      <c r="D100" s="95">
        <v>1.1200000000000001</v>
      </c>
      <c r="E100" s="95">
        <v>1.1200000000000001</v>
      </c>
      <c r="F100" s="95">
        <v>1.1200000000000001</v>
      </c>
      <c r="G100" s="95">
        <v>1.1200000000000001</v>
      </c>
      <c r="H100" s="113">
        <v>1.6</v>
      </c>
    </row>
    <row r="101" spans="3:8" x14ac:dyDescent="0.25">
      <c r="C101" s="94">
        <v>9</v>
      </c>
      <c r="D101" s="95">
        <v>1.25</v>
      </c>
      <c r="E101" s="95">
        <v>1.25</v>
      </c>
      <c r="F101" s="95">
        <v>1.25</v>
      </c>
      <c r="G101" s="95">
        <v>1.25</v>
      </c>
      <c r="H101" s="113">
        <v>1.8</v>
      </c>
    </row>
    <row r="102" spans="3:8" x14ac:dyDescent="0.25">
      <c r="C102" s="94">
        <v>10</v>
      </c>
      <c r="D102" s="95">
        <v>1.4</v>
      </c>
      <c r="E102" s="95">
        <v>1.4</v>
      </c>
      <c r="F102" s="95">
        <v>1.4</v>
      </c>
      <c r="G102" s="95">
        <v>1.4</v>
      </c>
      <c r="H102" s="333">
        <v>2</v>
      </c>
    </row>
    <row r="103" spans="3:8" x14ac:dyDescent="0.25">
      <c r="C103" s="94">
        <v>11</v>
      </c>
      <c r="D103" s="95">
        <v>1.6</v>
      </c>
      <c r="E103" s="95">
        <v>1.6</v>
      </c>
      <c r="F103" s="95">
        <v>1.6</v>
      </c>
      <c r="G103" s="95">
        <v>1.6</v>
      </c>
      <c r="H103" s="113">
        <v>2.2000000000000002</v>
      </c>
    </row>
    <row r="104" spans="3:8" x14ac:dyDescent="0.25">
      <c r="C104" s="94">
        <v>12</v>
      </c>
      <c r="D104" s="95">
        <v>1.8</v>
      </c>
      <c r="E104" s="95">
        <v>1.8</v>
      </c>
      <c r="F104" s="95">
        <v>1.8</v>
      </c>
      <c r="G104" s="95">
        <v>1.8</v>
      </c>
      <c r="H104" s="113">
        <v>2.5</v>
      </c>
    </row>
    <row r="105" spans="3:8" x14ac:dyDescent="0.25">
      <c r="C105" s="94">
        <v>13</v>
      </c>
      <c r="D105" s="131">
        <v>2</v>
      </c>
      <c r="E105" s="131">
        <v>2</v>
      </c>
      <c r="F105" s="131">
        <v>2</v>
      </c>
      <c r="G105" s="131">
        <v>2</v>
      </c>
      <c r="H105" s="113">
        <v>2.8</v>
      </c>
    </row>
    <row r="106" spans="3:8" x14ac:dyDescent="0.25">
      <c r="C106" s="94">
        <v>14</v>
      </c>
      <c r="D106" s="95">
        <v>2.2400000000000002</v>
      </c>
      <c r="E106" s="95">
        <v>2.2400000000000002</v>
      </c>
      <c r="F106" s="95">
        <v>2.2400000000000002</v>
      </c>
      <c r="G106" s="95">
        <v>2.2400000000000002</v>
      </c>
      <c r="H106" s="113">
        <v>3.1</v>
      </c>
    </row>
    <row r="107" spans="3:8" x14ac:dyDescent="0.25">
      <c r="C107" s="94">
        <v>15</v>
      </c>
      <c r="D107" s="95">
        <v>2.5</v>
      </c>
      <c r="E107" s="95">
        <v>2.5</v>
      </c>
      <c r="F107" s="95">
        <v>2.5</v>
      </c>
      <c r="G107" s="95">
        <v>2.5</v>
      </c>
      <c r="H107" s="113">
        <v>3.4</v>
      </c>
    </row>
    <row r="108" spans="3:8" x14ac:dyDescent="0.25">
      <c r="C108" s="94">
        <v>16</v>
      </c>
      <c r="D108" s="95">
        <v>2.8</v>
      </c>
      <c r="E108" s="95">
        <v>2.8</v>
      </c>
      <c r="F108" s="95">
        <v>2.8</v>
      </c>
      <c r="G108" s="95">
        <v>2.8</v>
      </c>
      <c r="H108" s="113">
        <v>3.7</v>
      </c>
    </row>
    <row r="109" spans="3:8" x14ac:dyDescent="0.25">
      <c r="C109" s="94">
        <v>17</v>
      </c>
      <c r="D109" s="95">
        <v>3.15</v>
      </c>
      <c r="E109" s="95">
        <v>3.15</v>
      </c>
      <c r="F109" s="95">
        <v>3.15</v>
      </c>
      <c r="G109" s="95">
        <v>3.15</v>
      </c>
      <c r="H109" s="333">
        <v>4</v>
      </c>
    </row>
    <row r="110" spans="3:8" x14ac:dyDescent="0.25">
      <c r="C110" s="94">
        <v>18</v>
      </c>
      <c r="D110" s="95">
        <v>3.55</v>
      </c>
      <c r="E110" s="95">
        <v>3.55</v>
      </c>
      <c r="F110" s="95">
        <v>3.55</v>
      </c>
      <c r="G110" s="95">
        <v>3.55</v>
      </c>
      <c r="H110" s="113">
        <v>4.3</v>
      </c>
    </row>
    <row r="111" spans="3:8" x14ac:dyDescent="0.25">
      <c r="C111" s="94">
        <v>19</v>
      </c>
      <c r="D111" s="131">
        <v>4</v>
      </c>
      <c r="E111" s="131">
        <v>4</v>
      </c>
      <c r="F111" s="131">
        <v>4</v>
      </c>
      <c r="G111" s="131">
        <v>4</v>
      </c>
      <c r="H111" s="113">
        <v>4.5999999999999996</v>
      </c>
    </row>
    <row r="112" spans="3:8" x14ac:dyDescent="0.25">
      <c r="C112" s="94">
        <v>20</v>
      </c>
      <c r="D112" s="95">
        <v>4.5</v>
      </c>
      <c r="E112" s="95">
        <v>4.5</v>
      </c>
      <c r="F112" s="95">
        <v>4.5</v>
      </c>
      <c r="G112" s="95">
        <v>4.5</v>
      </c>
      <c r="H112" s="333">
        <v>5</v>
      </c>
    </row>
    <row r="113" spans="3:8" x14ac:dyDescent="0.25">
      <c r="C113" s="96">
        <v>21</v>
      </c>
      <c r="D113" s="132">
        <v>5</v>
      </c>
      <c r="E113" s="132">
        <v>5</v>
      </c>
      <c r="F113" s="132">
        <v>5</v>
      </c>
      <c r="G113" s="132">
        <v>5</v>
      </c>
      <c r="H113" s="114"/>
    </row>
    <row r="115" spans="3:8" x14ac:dyDescent="0.25">
      <c r="D115" s="88" t="e">
        <f>HLOOKUP(Q4,D92:F113,Q6+1,FALSE)</f>
        <v>#N/A</v>
      </c>
    </row>
    <row r="118" spans="3:8" x14ac:dyDescent="0.25">
      <c r="C118" s="42" t="s">
        <v>76</v>
      </c>
    </row>
    <row r="119" spans="3:8" x14ac:dyDescent="0.25">
      <c r="C119" s="92"/>
      <c r="D119" s="93" t="s">
        <v>583</v>
      </c>
      <c r="E119" s="93" t="s">
        <v>353</v>
      </c>
      <c r="F119" s="93" t="s">
        <v>306</v>
      </c>
      <c r="G119" s="93" t="s">
        <v>354</v>
      </c>
      <c r="H119" s="151" t="s">
        <v>582</v>
      </c>
    </row>
    <row r="120" spans="3:8" x14ac:dyDescent="0.25">
      <c r="C120" s="94">
        <v>1</v>
      </c>
      <c r="D120" s="95">
        <v>16.7</v>
      </c>
      <c r="E120" s="95">
        <v>12.3</v>
      </c>
      <c r="F120" s="95">
        <v>13.2</v>
      </c>
      <c r="G120" s="95">
        <v>16.7</v>
      </c>
      <c r="H120" s="113">
        <v>16.7</v>
      </c>
    </row>
    <row r="121" spans="3:8" x14ac:dyDescent="0.25">
      <c r="C121" s="94">
        <v>2</v>
      </c>
      <c r="D121" s="95">
        <v>14.8</v>
      </c>
      <c r="E121" s="95">
        <v>10.8</v>
      </c>
      <c r="F121" s="95">
        <v>10.7</v>
      </c>
      <c r="G121" s="95">
        <v>14.8</v>
      </c>
      <c r="H121" s="113">
        <v>14.8</v>
      </c>
    </row>
    <row r="122" spans="3:8" x14ac:dyDescent="0.25">
      <c r="C122" s="94">
        <v>3</v>
      </c>
      <c r="D122" s="95">
        <v>12.8</v>
      </c>
      <c r="E122" s="95">
        <v>8.6</v>
      </c>
      <c r="F122" s="95">
        <v>9.6999999999999993</v>
      </c>
      <c r="G122" s="95">
        <v>12.8</v>
      </c>
      <c r="H122" s="113">
        <v>12.8</v>
      </c>
    </row>
    <row r="123" spans="3:8" x14ac:dyDescent="0.25">
      <c r="C123" s="94">
        <v>4</v>
      </c>
      <c r="D123" s="95">
        <v>10.9</v>
      </c>
      <c r="E123" s="95">
        <v>7.6</v>
      </c>
      <c r="F123" s="95">
        <v>8.6</v>
      </c>
      <c r="G123" s="95">
        <v>10.9</v>
      </c>
      <c r="H123" s="113">
        <v>10.9</v>
      </c>
    </row>
    <row r="124" spans="3:8" x14ac:dyDescent="0.25">
      <c r="C124" s="94">
        <v>5</v>
      </c>
      <c r="D124" s="95">
        <v>8.8000000000000007</v>
      </c>
      <c r="E124" s="95">
        <v>6.6</v>
      </c>
      <c r="F124" s="95">
        <v>7.6</v>
      </c>
      <c r="G124" s="95">
        <v>8.8000000000000007</v>
      </c>
      <c r="H124" s="113">
        <v>8.8000000000000007</v>
      </c>
    </row>
    <row r="125" spans="3:8" x14ac:dyDescent="0.25">
      <c r="C125" s="94">
        <v>6</v>
      </c>
      <c r="D125" s="95">
        <v>7.5</v>
      </c>
      <c r="E125" s="95">
        <v>5.5</v>
      </c>
      <c r="F125" s="95">
        <v>6.6</v>
      </c>
      <c r="G125" s="95">
        <v>7.5</v>
      </c>
      <c r="H125" s="113">
        <v>7.5</v>
      </c>
    </row>
    <row r="126" spans="3:8" x14ac:dyDescent="0.25">
      <c r="C126" s="94">
        <v>7</v>
      </c>
      <c r="D126" s="95">
        <v>6.7</v>
      </c>
      <c r="E126" s="95">
        <v>4.5</v>
      </c>
      <c r="F126" s="95">
        <v>5.6</v>
      </c>
      <c r="G126" s="95">
        <v>6.7</v>
      </c>
      <c r="H126" s="113">
        <v>6.7</v>
      </c>
    </row>
    <row r="127" spans="3:8" x14ac:dyDescent="0.25">
      <c r="C127" s="94">
        <v>8</v>
      </c>
      <c r="D127" s="95">
        <v>5.3</v>
      </c>
      <c r="E127" s="95">
        <v>3.9</v>
      </c>
      <c r="F127" s="95">
        <v>4.7</v>
      </c>
      <c r="G127" s="95">
        <v>5.3</v>
      </c>
      <c r="H127" s="113">
        <v>5.3</v>
      </c>
    </row>
    <row r="128" spans="3:8" x14ac:dyDescent="0.25">
      <c r="C128" s="94">
        <v>9</v>
      </c>
      <c r="D128" s="95">
        <v>4.5</v>
      </c>
      <c r="E128" s="95">
        <v>3.3</v>
      </c>
      <c r="F128" s="95">
        <v>3.9</v>
      </c>
      <c r="G128" s="95">
        <v>4.5</v>
      </c>
      <c r="H128" s="113">
        <v>4.5</v>
      </c>
    </row>
    <row r="129" spans="3:8" x14ac:dyDescent="0.25">
      <c r="C129" s="94">
        <v>10</v>
      </c>
      <c r="D129" s="95">
        <v>3.9</v>
      </c>
      <c r="E129" s="95">
        <v>2.7</v>
      </c>
      <c r="F129" s="95">
        <v>3.3</v>
      </c>
      <c r="G129" s="95">
        <v>3.9</v>
      </c>
      <c r="H129" s="113">
        <v>3.9</v>
      </c>
    </row>
    <row r="130" spans="3:8" x14ac:dyDescent="0.25">
      <c r="C130" s="94">
        <v>11</v>
      </c>
      <c r="D130" s="95">
        <v>3.2</v>
      </c>
      <c r="E130" s="95">
        <v>2.2999999999999998</v>
      </c>
      <c r="F130" s="95">
        <v>2.8</v>
      </c>
      <c r="G130" s="95">
        <v>3.2</v>
      </c>
      <c r="H130" s="113">
        <v>3.2</v>
      </c>
    </row>
    <row r="131" spans="3:8" x14ac:dyDescent="0.25">
      <c r="C131" s="94">
        <v>12</v>
      </c>
      <c r="D131" s="95">
        <v>2.7</v>
      </c>
      <c r="E131" s="95">
        <v>1.8</v>
      </c>
      <c r="F131" s="95">
        <v>2.4</v>
      </c>
      <c r="G131" s="95">
        <v>2.7</v>
      </c>
      <c r="H131" s="113">
        <v>2.7</v>
      </c>
    </row>
    <row r="132" spans="3:8" x14ac:dyDescent="0.25">
      <c r="C132" s="94">
        <v>13</v>
      </c>
      <c r="D132" s="95">
        <v>2.2000000000000002</v>
      </c>
      <c r="E132" s="95">
        <v>1.6</v>
      </c>
      <c r="F132" s="95">
        <v>2</v>
      </c>
      <c r="G132" s="95">
        <v>2.2000000000000002</v>
      </c>
      <c r="H132" s="113">
        <v>2.2000000000000002</v>
      </c>
    </row>
    <row r="133" spans="3:8" x14ac:dyDescent="0.25">
      <c r="C133" s="94">
        <v>14</v>
      </c>
      <c r="D133" s="95">
        <v>1.7</v>
      </c>
      <c r="E133" s="95">
        <v>1.3</v>
      </c>
      <c r="F133" s="95">
        <v>1.6</v>
      </c>
      <c r="G133" s="95">
        <v>1.7</v>
      </c>
      <c r="H133" s="113">
        <v>1.7</v>
      </c>
    </row>
    <row r="134" spans="3:8" x14ac:dyDescent="0.25">
      <c r="C134" s="94">
        <v>15</v>
      </c>
      <c r="D134" s="95">
        <v>1.5</v>
      </c>
      <c r="E134" s="95">
        <v>1.1000000000000001</v>
      </c>
      <c r="F134" s="95">
        <v>1.1000000000000001</v>
      </c>
      <c r="G134" s="95">
        <v>1.5</v>
      </c>
      <c r="H134" s="113">
        <v>1.5</v>
      </c>
    </row>
    <row r="135" spans="3:8" x14ac:dyDescent="0.25">
      <c r="C135" s="94">
        <v>16</v>
      </c>
      <c r="D135" s="95">
        <v>1.3</v>
      </c>
      <c r="E135" s="95">
        <v>0.9</v>
      </c>
      <c r="F135" s="95">
        <v>0.8</v>
      </c>
      <c r="G135" s="95">
        <v>1.3</v>
      </c>
      <c r="H135" s="113">
        <v>1.3</v>
      </c>
    </row>
    <row r="136" spans="3:8" x14ac:dyDescent="0.25">
      <c r="C136" s="94">
        <v>17</v>
      </c>
      <c r="D136" s="95">
        <v>1.1000000000000001</v>
      </c>
      <c r="E136" s="95">
        <v>0.7</v>
      </c>
      <c r="F136" s="95">
        <v>0.5</v>
      </c>
      <c r="G136" s="95">
        <v>1.1000000000000001</v>
      </c>
      <c r="H136" s="113">
        <v>1.1000000000000001</v>
      </c>
    </row>
    <row r="137" spans="3:8" x14ac:dyDescent="0.25">
      <c r="C137" s="96">
        <v>18</v>
      </c>
      <c r="D137" s="98">
        <v>0.9</v>
      </c>
      <c r="E137" s="98">
        <v>0.45</v>
      </c>
      <c r="F137" s="98">
        <v>0.3</v>
      </c>
      <c r="G137" s="98">
        <v>0.9</v>
      </c>
      <c r="H137" s="114">
        <v>0.9</v>
      </c>
    </row>
    <row r="139" spans="3:8" x14ac:dyDescent="0.25">
      <c r="D139" s="86" t="e">
        <f>HLOOKUP(Q33,D119:F137,Q35+1,FALSE)</f>
        <v>#N/A</v>
      </c>
    </row>
  </sheetData>
  <sheetProtection algorithmName="SHA-512" hashValue="lGWDHMXhs78GPf9nAEu3xSqFaxIoed3k2J9JPR2no+7BIYGOa6uon6EEPcgRhBhRTxgsNOoU+pF1Sydv6Y4dyg==" saltValue="VLCzFbFbKtWT1C/RvrgdSA==" spinCount="100000" sheet="1" selectLockedCells="1" selectUn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13</vt:i4>
      </vt:variant>
      <vt:variant>
        <vt:lpstr>Navngivne områder</vt:lpstr>
      </vt:variant>
      <vt:variant>
        <vt:i4>3</vt:i4>
      </vt:variant>
    </vt:vector>
  </HeadingPairs>
  <TitlesOfParts>
    <vt:vector size="16" baseType="lpstr">
      <vt:lpstr>Oplysningsside</vt:lpstr>
      <vt:lpstr>Kontroloversigt</vt:lpstr>
      <vt:lpstr>2. Mekaniske og geometriske par</vt:lpstr>
      <vt:lpstr>3. Røntgenrør og generator</vt:lpstr>
      <vt:lpstr>4. Dosis og dosishastighed</vt:lpstr>
      <vt:lpstr>5. Monitorer og billedkvalitet</vt:lpstr>
      <vt:lpstr>6. Eftersyn</vt:lpstr>
      <vt:lpstr>Ark2</vt:lpstr>
      <vt:lpstr>Data</vt:lpstr>
      <vt:lpstr>Ark9</vt:lpstr>
      <vt:lpstr>Ark8</vt:lpstr>
      <vt:lpstr>Ark7</vt:lpstr>
      <vt:lpstr>Ark3</vt:lpstr>
      <vt:lpstr>Kontroloversigt!_Toc170377437</vt:lpstr>
      <vt:lpstr>Kontroloversigt!_Toc170377441</vt:lpstr>
      <vt:lpstr>'5. Monitorer og billedkvalitet'!_Toc171069704</vt:lpstr>
    </vt:vector>
  </TitlesOfParts>
  <Company>Region Hovedstaden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Henning Andersen</dc:creator>
  <cp:lastModifiedBy>Erik Henning Andersen</cp:lastModifiedBy>
  <cp:lastPrinted>2025-11-23T15:32:28Z</cp:lastPrinted>
  <dcterms:created xsi:type="dcterms:W3CDTF">2020-11-17T13:30:30Z</dcterms:created>
  <dcterms:modified xsi:type="dcterms:W3CDTF">2026-08-19T11:55:56Z</dcterms:modified>
</cp:coreProperties>
</file>