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omments2.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IS\MED\Monitorer\Monitorer\"/>
    </mc:Choice>
  </mc:AlternateContent>
  <bookViews>
    <workbookView xWindow="12585" yWindow="300" windowWidth="6345" windowHeight="1170" tabRatio="598"/>
  </bookViews>
  <sheets>
    <sheet name="Bemærkninger til ark" sheetId="14" r:id="rId1"/>
    <sheet name="Oplysningsside" sheetId="13" r:id="rId2"/>
    <sheet name="5.1 Betragtningsforhold" sheetId="10" r:id="rId3"/>
    <sheet name="5.2-5.4 Forhold; GSDF; forskel" sheetId="1" r:id="rId4"/>
    <sheet name="5.5 Homogenitet" sheetId="3" r:id="rId5"/>
    <sheet name="5.6 Artefakter" sheetId="5" r:id="rId6"/>
    <sheet name="5.7 Visuel test" sheetId="11" r:id="rId7"/>
    <sheet name="Samlet rapport (TG18)" sheetId="6" r:id="rId8"/>
    <sheet name="Samlet rapport (SMPTE)" sheetId="7" r:id="rId9"/>
    <sheet name="Beregning af Kontrastforhold" sheetId="8" r:id="rId10"/>
    <sheet name="Link til prøvebilleder" sheetId="9" r:id="rId11"/>
  </sheets>
  <definedNames>
    <definedName name="_Toc462219989" localSheetId="6">'5.7 Visuel test'!#REF!</definedName>
    <definedName name="a_">'5.2-5.4 Forhold; GSDF; forskel'!$S$9</definedName>
    <definedName name="Ambient_L">'5.2-5.4 Forhold; GSDF; forskel'!$F$33</definedName>
    <definedName name="Ambient_R">'5.2-5.4 Forhold; GSDF; forskel'!$F$86</definedName>
    <definedName name="b_">'5.2-5.4 Forhold; GSDF; forskel'!$S$10</definedName>
    <definedName name="c_">'5.2-5.4 Forhold; GSDF; forskel'!$S$11</definedName>
    <definedName name="d_">'5.2-5.4 Forhold; GSDF; forskel'!$S$12</definedName>
    <definedName name="e_">'5.2-5.4 Forhold; GSDF; forskel'!$S$13</definedName>
    <definedName name="f_">'5.2-5.4 Forhold; GSDF; forskel'!$S$14</definedName>
    <definedName name="g_">'5.2-5.4 Forhold; GSDF; forskel'!$S$15</definedName>
    <definedName name="h_">'5.2-5.4 Forhold; GSDF; forskel'!$S$16</definedName>
    <definedName name="iA_">'5.2-5.4 Forhold; GSDF; forskel'!$V$9</definedName>
    <definedName name="iB_">'5.2-5.4 Forhold; GSDF; forskel'!$V$10</definedName>
    <definedName name="iC_">'5.2-5.4 Forhold; GSDF; forskel'!$V$11</definedName>
    <definedName name="iD_">'5.2-5.4 Forhold; GSDF; forskel'!$V$12</definedName>
    <definedName name="iE_">'5.2-5.4 Forhold; GSDF; forskel'!$V$13</definedName>
    <definedName name="iF_">'5.2-5.4 Forhold; GSDF; forskel'!$V$14</definedName>
    <definedName name="iG_">'5.2-5.4 Forhold; GSDF; forskel'!$V$15</definedName>
    <definedName name="iH_">'5.2-5.4 Forhold; GSDF; forskel'!$V$16</definedName>
    <definedName name="iI_">'5.2-5.4 Forhold; GSDF; forskel'!$V$17</definedName>
    <definedName name="k_">'5.2-5.4 Forhold; GSDF; forskel'!$S$17</definedName>
    <definedName name="m_">'5.2-5.4 Forhold; GSDF; forskel'!$S$18</definedName>
    <definedName name="pvalue_lu">'5.2-5.4 Forhold; GSDF; forskel'!$O$9:$P$27</definedName>
    <definedName name="Refleksionskoefficient">Oplysningsside!$R$24</definedName>
    <definedName name="Reflektionskoefficient">Oplysningsside!$R$24</definedName>
    <definedName name="Tol_diff_monitorer">Oplysningsside!$R$50</definedName>
    <definedName name="Tol_Homogenitet">Oplysningsside!$R$48</definedName>
    <definedName name="Tol_kontrastforhold">Oplysningsside!$R$46</definedName>
    <definedName name="Tol_kontrastforhold2">Oplysningsside!$R$47</definedName>
    <definedName name="Tol_kontrastrespons">Oplysningsside!$R$45</definedName>
    <definedName name="_xlnm.Print_Area" localSheetId="3">'5.2-5.4 Forhold; GSDF; forskel'!$A$23:$J$109</definedName>
    <definedName name="_xlnm.Print_Area" localSheetId="8">'Samlet rapport (SMPTE)'!$A$1:$Q$60</definedName>
  </definedNames>
  <calcPr calcId="162913"/>
</workbook>
</file>

<file path=xl/calcChain.xml><?xml version="1.0" encoding="utf-8"?>
<calcChain xmlns="http://schemas.openxmlformats.org/spreadsheetml/2006/main">
  <c r="B27" i="3" l="1"/>
  <c r="B18" i="3"/>
  <c r="F35" i="7" l="1"/>
  <c r="AE37" i="1"/>
  <c r="AE38" i="1"/>
  <c r="AE39" i="1"/>
  <c r="AE40" i="1"/>
  <c r="AE41" i="1"/>
  <c r="AE42" i="1"/>
  <c r="AE43" i="1"/>
  <c r="AE44" i="1"/>
  <c r="AE45" i="1"/>
  <c r="AE46" i="1"/>
  <c r="AE36" i="1"/>
  <c r="AE85" i="1" l="1"/>
  <c r="AE86" i="1"/>
  <c r="AE87" i="1"/>
  <c r="AE88" i="1"/>
  <c r="AE89" i="1"/>
  <c r="AE90" i="1"/>
  <c r="AE91" i="1"/>
  <c r="AE92" i="1"/>
  <c r="AE93" i="1"/>
  <c r="AE94" i="1"/>
  <c r="AE84" i="1"/>
  <c r="D90" i="1"/>
  <c r="D91" i="1"/>
  <c r="D92" i="1"/>
  <c r="D93" i="1"/>
  <c r="D94" i="1"/>
  <c r="D95" i="1"/>
  <c r="D96" i="1"/>
  <c r="D97" i="1"/>
  <c r="D98" i="1"/>
  <c r="D99" i="1"/>
  <c r="D100" i="1"/>
  <c r="D101" i="1"/>
  <c r="D102" i="1"/>
  <c r="D103" i="1"/>
  <c r="D104" i="1"/>
  <c r="D105" i="1"/>
  <c r="D106" i="1"/>
  <c r="D89" i="1"/>
  <c r="D36" i="1"/>
  <c r="D37" i="1"/>
  <c r="D38" i="1"/>
  <c r="D39" i="1"/>
  <c r="D40" i="1"/>
  <c r="D41" i="1"/>
  <c r="D42" i="1"/>
  <c r="D43" i="1"/>
  <c r="D44" i="1"/>
  <c r="D45" i="1"/>
  <c r="D46" i="1"/>
  <c r="D47" i="1"/>
  <c r="D48" i="1"/>
  <c r="D49" i="1"/>
  <c r="D50" i="1"/>
  <c r="D51" i="1"/>
  <c r="D52" i="1"/>
  <c r="D53" i="1"/>
  <c r="F35" i="6" l="1"/>
  <c r="F23" i="6"/>
  <c r="H7" i="7" l="1"/>
  <c r="H7" i="6"/>
  <c r="B9" i="7" l="1"/>
  <c r="B8" i="7"/>
  <c r="B9" i="6"/>
  <c r="B8" i="6"/>
  <c r="J35" i="7" l="1"/>
  <c r="J34" i="7"/>
  <c r="J33" i="7"/>
  <c r="J30" i="7"/>
  <c r="J29" i="7"/>
  <c r="J29" i="6"/>
  <c r="J30" i="6"/>
  <c r="J18" i="7"/>
  <c r="H8" i="7"/>
  <c r="H8" i="6"/>
  <c r="G35" i="7"/>
  <c r="F34" i="7"/>
  <c r="F23" i="7"/>
  <c r="F22" i="7"/>
  <c r="F22" i="6"/>
  <c r="F34" i="6"/>
  <c r="G35" i="6" l="1"/>
  <c r="J35" i="6"/>
  <c r="J34" i="6"/>
  <c r="J33" i="6"/>
  <c r="J18" i="6"/>
  <c r="C2" i="7" l="1"/>
  <c r="B6" i="7"/>
  <c r="B11" i="7"/>
  <c r="B12" i="7"/>
  <c r="B13" i="7"/>
  <c r="B14" i="7"/>
  <c r="B10" i="7"/>
  <c r="B7" i="7"/>
  <c r="B6" i="6"/>
  <c r="B30" i="7"/>
  <c r="B31" i="7"/>
  <c r="B32" i="7"/>
  <c r="B33" i="7"/>
  <c r="B34" i="7"/>
  <c r="B35" i="7"/>
  <c r="B36" i="7"/>
  <c r="B37" i="7"/>
  <c r="B38" i="7"/>
  <c r="B29" i="7"/>
  <c r="J23" i="7"/>
  <c r="J22" i="7"/>
  <c r="J21" i="7"/>
  <c r="J17" i="7"/>
  <c r="B18" i="7"/>
  <c r="B19" i="7"/>
  <c r="B20" i="7"/>
  <c r="B21" i="7"/>
  <c r="B22" i="7"/>
  <c r="B23" i="7"/>
  <c r="B24" i="7"/>
  <c r="B25" i="7"/>
  <c r="B26" i="7"/>
  <c r="B17" i="7"/>
  <c r="G38" i="7"/>
  <c r="G34" i="7"/>
  <c r="G33" i="7"/>
  <c r="G31" i="7"/>
  <c r="G30" i="7"/>
  <c r="G23" i="7"/>
  <c r="G22" i="7"/>
  <c r="G21" i="7"/>
  <c r="G19" i="7"/>
  <c r="G18" i="7"/>
  <c r="E14" i="7" l="1"/>
  <c r="E13" i="7"/>
  <c r="E12" i="7"/>
  <c r="E11" i="7"/>
  <c r="F12" i="7"/>
  <c r="F13" i="7"/>
  <c r="F14" i="7"/>
  <c r="F11" i="7"/>
  <c r="F7" i="7"/>
  <c r="F8" i="7"/>
  <c r="F9" i="7"/>
  <c r="F6" i="7"/>
  <c r="G30" i="6"/>
  <c r="AG80" i="1"/>
  <c r="F85" i="1"/>
  <c r="F29" i="7" s="1"/>
  <c r="E14" i="6"/>
  <c r="E13" i="6"/>
  <c r="E12" i="6"/>
  <c r="E11" i="6"/>
  <c r="F6" i="6"/>
  <c r="F11" i="6"/>
  <c r="F14" i="6"/>
  <c r="F13" i="6"/>
  <c r="F12" i="6"/>
  <c r="F9" i="6"/>
  <c r="F8" i="6"/>
  <c r="F7" i="6"/>
  <c r="AA1" i="1"/>
  <c r="AA3" i="1"/>
  <c r="AD4" i="1"/>
  <c r="AK4" i="1"/>
  <c r="AD5" i="1"/>
  <c r="AD6" i="1"/>
  <c r="P6" i="10"/>
  <c r="P5" i="10"/>
  <c r="W4" i="10"/>
  <c r="P4" i="10"/>
  <c r="M3" i="10"/>
  <c r="M1" i="10"/>
  <c r="P6" i="11"/>
  <c r="P5" i="11"/>
  <c r="A5" i="11"/>
  <c r="W4" i="11"/>
  <c r="P4" i="11"/>
  <c r="M3" i="11"/>
  <c r="M1" i="11"/>
  <c r="P6" i="5"/>
  <c r="P5" i="5"/>
  <c r="A5" i="5"/>
  <c r="W4" i="5"/>
  <c r="P4" i="5"/>
  <c r="M3" i="5"/>
  <c r="M1" i="5"/>
  <c r="P6" i="3"/>
  <c r="P5" i="3"/>
  <c r="A5" i="3"/>
  <c r="W4" i="3"/>
  <c r="P4" i="3"/>
  <c r="M3" i="3"/>
  <c r="M1" i="3"/>
  <c r="A5" i="10"/>
  <c r="A5" i="1"/>
  <c r="J23" i="6" l="1"/>
  <c r="G23" i="6" l="1"/>
  <c r="G22" i="6"/>
  <c r="J22" i="6"/>
  <c r="J21" i="6"/>
  <c r="J17" i="6"/>
  <c r="B7" i="6"/>
  <c r="G18" i="6"/>
  <c r="AF50" i="1"/>
  <c r="AF49" i="1"/>
  <c r="AF97" i="1"/>
  <c r="AF98" i="1"/>
  <c r="E110" i="1"/>
  <c r="F32" i="1"/>
  <c r="E57" i="1"/>
  <c r="G38" i="6"/>
  <c r="B34" i="6"/>
  <c r="B35" i="6"/>
  <c r="B36" i="6"/>
  <c r="B37" i="6"/>
  <c r="B38" i="6"/>
  <c r="B30" i="6"/>
  <c r="B31" i="6"/>
  <c r="B32" i="6"/>
  <c r="B33" i="6"/>
  <c r="B29" i="6"/>
  <c r="B22" i="6"/>
  <c r="B23" i="6"/>
  <c r="B24" i="6"/>
  <c r="B25" i="6"/>
  <c r="B26" i="6"/>
  <c r="B11" i="6"/>
  <c r="B12" i="6"/>
  <c r="B13" i="6"/>
  <c r="B10" i="6"/>
  <c r="B21" i="6"/>
  <c r="B20" i="6"/>
  <c r="B19" i="6"/>
  <c r="B18" i="6"/>
  <c r="B17" i="6"/>
  <c r="C2" i="6"/>
  <c r="F17" i="6" l="1"/>
  <c r="F33" i="1"/>
  <c r="F17" i="7"/>
  <c r="B14" i="6"/>
  <c r="G34" i="6" l="1"/>
  <c r="G33" i="6"/>
  <c r="G31" i="6"/>
  <c r="G21" i="6"/>
  <c r="G19" i="6"/>
  <c r="B28" i="3" l="1"/>
  <c r="B19" i="3"/>
  <c r="AC104" i="1" l="1"/>
  <c r="F86" i="1"/>
  <c r="AG81" i="1"/>
  <c r="AG32" i="1"/>
  <c r="AG33" i="1" s="1"/>
  <c r="AP10" i="1" l="1"/>
  <c r="AC36" i="1" s="1"/>
  <c r="AC84" i="1" s="1"/>
  <c r="AO71" i="1" s="1"/>
  <c r="AP11" i="1"/>
  <c r="AC37" i="1" s="1"/>
  <c r="AO34" i="1" s="1"/>
  <c r="AP12" i="1"/>
  <c r="AP13" i="1"/>
  <c r="AC39" i="1" s="1"/>
  <c r="AP14" i="1"/>
  <c r="AC40" i="1" s="1"/>
  <c r="AP15" i="1"/>
  <c r="AC41" i="1" s="1"/>
  <c r="AO38" i="1" s="1"/>
  <c r="AP16" i="1"/>
  <c r="AC42" i="1" s="1"/>
  <c r="AC90" i="1" s="1"/>
  <c r="AO77" i="1" s="1"/>
  <c r="AP17" i="1"/>
  <c r="AC43" i="1" s="1"/>
  <c r="AP18" i="1"/>
  <c r="AC44" i="1" s="1"/>
  <c r="AO41" i="1" s="1"/>
  <c r="AP19" i="1"/>
  <c r="AC45" i="1" s="1"/>
  <c r="AO42" i="1" s="1"/>
  <c r="AB35" i="1"/>
  <c r="AN32" i="1" s="1"/>
  <c r="AB36" i="1"/>
  <c r="AB37" i="1"/>
  <c r="AN34" i="1" s="1"/>
  <c r="AB38" i="1"/>
  <c r="AN35" i="1" s="1"/>
  <c r="AC38" i="1"/>
  <c r="AC86" i="1" s="1"/>
  <c r="AO73" i="1" s="1"/>
  <c r="AB39" i="1"/>
  <c r="AB87" i="1" s="1"/>
  <c r="AN74" i="1" s="1"/>
  <c r="AB40" i="1"/>
  <c r="AN37" i="1" s="1"/>
  <c r="AB41" i="1"/>
  <c r="AB89" i="1" s="1"/>
  <c r="AN76" i="1" s="1"/>
  <c r="AB42" i="1"/>
  <c r="AB90" i="1" s="1"/>
  <c r="AN77" i="1" s="1"/>
  <c r="AB43" i="1"/>
  <c r="AB91" i="1" s="1"/>
  <c r="AN78" i="1" s="1"/>
  <c r="AB44" i="1"/>
  <c r="AN41" i="1" s="1"/>
  <c r="AB45" i="1"/>
  <c r="AN42" i="1" s="1"/>
  <c r="AB46" i="1"/>
  <c r="AN43" i="1" s="1"/>
  <c r="AC46" i="1"/>
  <c r="AO43" i="1" s="1"/>
  <c r="AB94" i="1" l="1"/>
  <c r="AN81" i="1" s="1"/>
  <c r="AC94" i="1"/>
  <c r="AO81" i="1" s="1"/>
  <c r="AB86" i="1"/>
  <c r="AN73" i="1" s="1"/>
  <c r="AE96" i="1"/>
  <c r="AD96" i="1"/>
  <c r="AE95" i="1"/>
  <c r="AD95" i="1"/>
  <c r="AE98" i="1" s="1"/>
  <c r="F30" i="7" s="1"/>
  <c r="AB92" i="1"/>
  <c r="AN79" i="1" s="1"/>
  <c r="AB93" i="1"/>
  <c r="AN80" i="1" s="1"/>
  <c r="AN39" i="1"/>
  <c r="AB85" i="1"/>
  <c r="AN72" i="1" s="1"/>
  <c r="AG90" i="1"/>
  <c r="AO33" i="1"/>
  <c r="AG87" i="1"/>
  <c r="AP81" i="1"/>
  <c r="AQ81" i="1" s="1"/>
  <c r="AC89" i="1"/>
  <c r="AO76" i="1" s="1"/>
  <c r="AG89" i="1"/>
  <c r="AB88" i="1"/>
  <c r="AN75" i="1" s="1"/>
  <c r="AO39" i="1"/>
  <c r="AN36" i="1"/>
  <c r="AO35" i="1"/>
  <c r="AG85" i="1"/>
  <c r="AN38" i="1"/>
  <c r="AG86" i="1"/>
  <c r="AC85" i="1"/>
  <c r="AO72" i="1" s="1"/>
  <c r="AP71" i="1"/>
  <c r="AQ71" i="1" s="1"/>
  <c r="AG93" i="1"/>
  <c r="AG91" i="1"/>
  <c r="AG88" i="1"/>
  <c r="AO40" i="1"/>
  <c r="AC91" i="1"/>
  <c r="AO78" i="1" s="1"/>
  <c r="AC87" i="1"/>
  <c r="AO74" i="1" s="1"/>
  <c r="AO36" i="1"/>
  <c r="AB83" i="1"/>
  <c r="AN70" i="1" s="1"/>
  <c r="AB84" i="1"/>
  <c r="AN71" i="1" s="1"/>
  <c r="AN33" i="1"/>
  <c r="AO37" i="1"/>
  <c r="AC88" i="1"/>
  <c r="AO75" i="1" s="1"/>
  <c r="AC92" i="1"/>
  <c r="AO79" i="1" s="1"/>
  <c r="AG92" i="1"/>
  <c r="AG94" i="1"/>
  <c r="AC93" i="1"/>
  <c r="AO80" i="1" s="1"/>
  <c r="AN40" i="1"/>
  <c r="AE97" i="1" l="1"/>
  <c r="F31" i="7" s="1"/>
  <c r="AP85" i="1"/>
  <c r="AU71" i="1"/>
  <c r="AV71" i="1"/>
  <c r="AF84" i="1"/>
  <c r="AV81" i="1"/>
  <c r="AP84" i="1"/>
  <c r="AF94" i="1"/>
  <c r="AU81" i="1"/>
  <c r="AQ75" i="1" l="1"/>
  <c r="AQ72" i="1"/>
  <c r="AQ73" i="1"/>
  <c r="AQ74" i="1"/>
  <c r="AQ76" i="1"/>
  <c r="AQ80" i="1"/>
  <c r="AQ78" i="1"/>
  <c r="AQ79" i="1"/>
  <c r="AQ77" i="1"/>
  <c r="AV78" i="1" l="1"/>
  <c r="AF91" i="1"/>
  <c r="AU78" i="1"/>
  <c r="AZ79" i="1"/>
  <c r="AP78" i="1"/>
  <c r="AZ74" i="1"/>
  <c r="AF86" i="1"/>
  <c r="AV73" i="1"/>
  <c r="AU73" i="1"/>
  <c r="AP73" i="1"/>
  <c r="AZ81" i="1"/>
  <c r="AF93" i="1"/>
  <c r="AP80" i="1"/>
  <c r="AU80" i="1"/>
  <c r="AV80" i="1"/>
  <c r="AP72" i="1"/>
  <c r="AR72" i="1" s="1"/>
  <c r="AF85" i="1"/>
  <c r="AV72" i="1"/>
  <c r="AU72" i="1"/>
  <c r="AZ73" i="1"/>
  <c r="AZ72" i="1"/>
  <c r="AF90" i="1"/>
  <c r="AZ78" i="1"/>
  <c r="AU77" i="1"/>
  <c r="AV77" i="1"/>
  <c r="AP77" i="1"/>
  <c r="AP76" i="1"/>
  <c r="AF89" i="1"/>
  <c r="AV76" i="1"/>
  <c r="AZ77" i="1"/>
  <c r="AU76" i="1"/>
  <c r="AF88" i="1"/>
  <c r="AU75" i="1"/>
  <c r="AZ76" i="1"/>
  <c r="AV75" i="1"/>
  <c r="AP75" i="1"/>
  <c r="AP79" i="1"/>
  <c r="AF92" i="1"/>
  <c r="AU79" i="1"/>
  <c r="AZ80" i="1"/>
  <c r="AV79" i="1"/>
  <c r="AV74" i="1"/>
  <c r="AF87" i="1"/>
  <c r="AZ75" i="1"/>
  <c r="AU74" i="1"/>
  <c r="AP74" i="1"/>
  <c r="AR74" i="1" s="1"/>
  <c r="AR79" i="1" l="1"/>
  <c r="AS79" i="1" s="1"/>
  <c r="AX79" i="1" s="1"/>
  <c r="AR77" i="1"/>
  <c r="AW77" i="1" s="1"/>
  <c r="AT74" i="1"/>
  <c r="AY74" i="1" s="1"/>
  <c r="AW74" i="1"/>
  <c r="AS74" i="1"/>
  <c r="AX74" i="1" s="1"/>
  <c r="AI92" i="1"/>
  <c r="AH92" i="1"/>
  <c r="AI90" i="1"/>
  <c r="AH90" i="1"/>
  <c r="AI85" i="1"/>
  <c r="AH85" i="1"/>
  <c r="AR80" i="1"/>
  <c r="AR81" i="1"/>
  <c r="AI86" i="1"/>
  <c r="AH86" i="1"/>
  <c r="AR75" i="1"/>
  <c r="AI88" i="1"/>
  <c r="AH88" i="1"/>
  <c r="AI89" i="1"/>
  <c r="AH89" i="1"/>
  <c r="AT72" i="1"/>
  <c r="AY72" i="1" s="1"/>
  <c r="AS72" i="1"/>
  <c r="AX72" i="1" s="1"/>
  <c r="AW72" i="1"/>
  <c r="AI93" i="1"/>
  <c r="AH93" i="1"/>
  <c r="AI94" i="1"/>
  <c r="AH94" i="1"/>
  <c r="AR73" i="1"/>
  <c r="AI91" i="1"/>
  <c r="AH91" i="1"/>
  <c r="AI87" i="1"/>
  <c r="AH87" i="1"/>
  <c r="AR76" i="1"/>
  <c r="AR78" i="1"/>
  <c r="AT79" i="1" l="1"/>
  <c r="AY79" i="1" s="1"/>
  <c r="AW79" i="1"/>
  <c r="AJ92" i="1" s="1"/>
  <c r="AS77" i="1"/>
  <c r="AX77" i="1" s="1"/>
  <c r="AJ90" i="1"/>
  <c r="AT77" i="1"/>
  <c r="AY77" i="1" s="1"/>
  <c r="AT78" i="1"/>
  <c r="AY78" i="1" s="1"/>
  <c r="AS78" i="1"/>
  <c r="AX78" i="1" s="1"/>
  <c r="AW78" i="1"/>
  <c r="AJ91" i="1" s="1"/>
  <c r="AT76" i="1"/>
  <c r="AY76" i="1" s="1"/>
  <c r="AS76" i="1"/>
  <c r="AX76" i="1" s="1"/>
  <c r="AW76" i="1"/>
  <c r="AJ89" i="1" s="1"/>
  <c r="AS73" i="1"/>
  <c r="AX73" i="1" s="1"/>
  <c r="AW73" i="1"/>
  <c r="AJ86" i="1" s="1"/>
  <c r="AT73" i="1"/>
  <c r="AY73" i="1" s="1"/>
  <c r="AT75" i="1"/>
  <c r="AY75" i="1" s="1"/>
  <c r="AW75" i="1"/>
  <c r="AJ88" i="1" s="1"/>
  <c r="AS75" i="1"/>
  <c r="AX75" i="1" s="1"/>
  <c r="AW81" i="1"/>
  <c r="AJ94" i="1" s="1"/>
  <c r="AS81" i="1"/>
  <c r="AX81" i="1" s="1"/>
  <c r="AT81" i="1"/>
  <c r="AY81" i="1" s="1"/>
  <c r="AJ87" i="1"/>
  <c r="AJ85" i="1"/>
  <c r="AS80" i="1"/>
  <c r="AX80" i="1" s="1"/>
  <c r="AW80" i="1"/>
  <c r="AJ93" i="1" s="1"/>
  <c r="AT80" i="1"/>
  <c r="AY80" i="1" s="1"/>
  <c r="AJ95" i="1" l="1"/>
  <c r="F32" i="7" s="1"/>
  <c r="B116" i="1"/>
  <c r="E56" i="1"/>
  <c r="E109" i="1"/>
  <c r="R45" i="13" l="1"/>
  <c r="P6" i="13"/>
  <c r="W4" i="13"/>
  <c r="P4" i="13"/>
  <c r="A5" i="13"/>
  <c r="M1" i="13"/>
  <c r="M3" i="13"/>
  <c r="P5" i="13"/>
  <c r="R43" i="13"/>
  <c r="G29" i="7" s="1"/>
  <c r="G17" i="7" l="1"/>
  <c r="H21" i="10"/>
  <c r="G29" i="6"/>
  <c r="G32" i="7"/>
  <c r="G20" i="7"/>
  <c r="H11" i="10"/>
  <c r="G17" i="6"/>
  <c r="G20" i="6"/>
  <c r="G32" i="6"/>
  <c r="AJ48" i="1"/>
  <c r="AJ96" i="1"/>
  <c r="AS32" i="1"/>
  <c r="AX32" i="1"/>
  <c r="AT32" i="1"/>
  <c r="AY32" i="1"/>
  <c r="AU32" i="1"/>
  <c r="AV32" i="1"/>
  <c r="I108" i="1"/>
  <c r="I55" i="1"/>
  <c r="B9" i="8"/>
  <c r="D9" i="8" l="1"/>
  <c r="C9" i="8"/>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58" i="8"/>
  <c r="B59" i="8"/>
  <c r="B60" i="8"/>
  <c r="B61" i="8"/>
  <c r="B62" i="8"/>
  <c r="B63" i="8"/>
  <c r="B64" i="8"/>
  <c r="B65" i="8"/>
  <c r="B66" i="8"/>
  <c r="B67" i="8"/>
  <c r="B68" i="8"/>
  <c r="B69" i="8"/>
  <c r="B70" i="8"/>
  <c r="B71" i="8"/>
  <c r="B72" i="8"/>
  <c r="B73" i="8"/>
  <c r="B74" i="8"/>
  <c r="B75" i="8"/>
  <c r="B76" i="8"/>
  <c r="B77" i="8"/>
  <c r="B78" i="8"/>
  <c r="B79" i="8"/>
  <c r="B80" i="8"/>
  <c r="B81" i="8"/>
  <c r="B82" i="8"/>
  <c r="B83" i="8"/>
  <c r="B84" i="8"/>
  <c r="B85" i="8"/>
  <c r="B86" i="8"/>
  <c r="B87" i="8"/>
  <c r="B88" i="8"/>
  <c r="B89" i="8"/>
  <c r="B90" i="8"/>
  <c r="B91" i="8"/>
  <c r="B92" i="8"/>
  <c r="B93" i="8"/>
  <c r="B94" i="8"/>
  <c r="B95" i="8"/>
  <c r="B96" i="8"/>
  <c r="B97" i="8"/>
  <c r="B98" i="8"/>
  <c r="B99" i="8"/>
  <c r="B100" i="8"/>
  <c r="B101" i="8"/>
  <c r="B102" i="8"/>
  <c r="B103" i="8"/>
  <c r="B104" i="8"/>
  <c r="B105" i="8"/>
  <c r="B106" i="8"/>
  <c r="B107" i="8"/>
  <c r="B108" i="8"/>
  <c r="B10" i="8"/>
  <c r="D105" i="8" l="1"/>
  <c r="C105" i="8"/>
  <c r="D97" i="8"/>
  <c r="C97" i="8"/>
  <c r="D89" i="8"/>
  <c r="C89" i="8"/>
  <c r="D81" i="8"/>
  <c r="C81" i="8"/>
  <c r="D69" i="8"/>
  <c r="C69" i="8"/>
  <c r="D61" i="8"/>
  <c r="C61" i="8"/>
  <c r="D53" i="8"/>
  <c r="C53" i="8"/>
  <c r="D41" i="8"/>
  <c r="C41" i="8"/>
  <c r="D13" i="8"/>
  <c r="C13" i="8"/>
  <c r="D104" i="8"/>
  <c r="C104" i="8"/>
  <c r="D96" i="8"/>
  <c r="C96" i="8"/>
  <c r="D88" i="8"/>
  <c r="C88" i="8"/>
  <c r="D106" i="8"/>
  <c r="C106" i="8"/>
  <c r="D102" i="8"/>
  <c r="C102" i="8"/>
  <c r="D98" i="8"/>
  <c r="C98" i="8"/>
  <c r="D94" i="8"/>
  <c r="C94" i="8"/>
  <c r="D90" i="8"/>
  <c r="C90" i="8"/>
  <c r="D86" i="8"/>
  <c r="C86" i="8"/>
  <c r="D82" i="8"/>
  <c r="C82" i="8"/>
  <c r="D78" i="8"/>
  <c r="C78" i="8"/>
  <c r="D74" i="8"/>
  <c r="C74" i="8"/>
  <c r="D70" i="8"/>
  <c r="C70" i="8"/>
  <c r="D66" i="8"/>
  <c r="C66" i="8"/>
  <c r="D62" i="8"/>
  <c r="C62" i="8"/>
  <c r="D58" i="8"/>
  <c r="C58" i="8"/>
  <c r="D54" i="8"/>
  <c r="C54" i="8"/>
  <c r="D50" i="8"/>
  <c r="C50" i="8"/>
  <c r="D46" i="8"/>
  <c r="C46" i="8"/>
  <c r="D42" i="8"/>
  <c r="C42" i="8"/>
  <c r="D38" i="8"/>
  <c r="C38" i="8"/>
  <c r="D34" i="8"/>
  <c r="C34" i="8"/>
  <c r="D30" i="8"/>
  <c r="C30" i="8"/>
  <c r="D26" i="8"/>
  <c r="C26" i="8"/>
  <c r="D22" i="8"/>
  <c r="C22" i="8"/>
  <c r="D18" i="8"/>
  <c r="C18" i="8"/>
  <c r="D14" i="8"/>
  <c r="C14" i="8"/>
  <c r="D10" i="8"/>
  <c r="C10" i="8"/>
  <c r="D101" i="8"/>
  <c r="C101" i="8"/>
  <c r="D93" i="8"/>
  <c r="C93" i="8"/>
  <c r="D85" i="8"/>
  <c r="C85" i="8"/>
  <c r="D77" i="8"/>
  <c r="C77" i="8"/>
  <c r="D73" i="8"/>
  <c r="C73" i="8"/>
  <c r="D65" i="8"/>
  <c r="C65" i="8"/>
  <c r="D57" i="8"/>
  <c r="C57" i="8"/>
  <c r="D49" i="8"/>
  <c r="C49" i="8"/>
  <c r="D45" i="8"/>
  <c r="C45" i="8"/>
  <c r="D37" i="8"/>
  <c r="C37" i="8"/>
  <c r="D33" i="8"/>
  <c r="C33" i="8"/>
  <c r="D29" i="8"/>
  <c r="C29" i="8"/>
  <c r="D25" i="8"/>
  <c r="C25" i="8"/>
  <c r="D21" i="8"/>
  <c r="C21" i="8"/>
  <c r="D17" i="8"/>
  <c r="C17" i="8"/>
  <c r="D108" i="8"/>
  <c r="C108" i="8"/>
  <c r="D100" i="8"/>
  <c r="C100" i="8"/>
  <c r="D92" i="8"/>
  <c r="C92" i="8"/>
  <c r="D84" i="8"/>
  <c r="C84" i="8"/>
  <c r="D80" i="8"/>
  <c r="C80" i="8"/>
  <c r="D76" i="8"/>
  <c r="C76" i="8"/>
  <c r="D72" i="8"/>
  <c r="C72" i="8"/>
  <c r="D68" i="8"/>
  <c r="C68" i="8"/>
  <c r="D64" i="8"/>
  <c r="C64" i="8"/>
  <c r="D60" i="8"/>
  <c r="C60" i="8"/>
  <c r="D56" i="8"/>
  <c r="C56" i="8"/>
  <c r="D52" i="8"/>
  <c r="C52" i="8"/>
  <c r="D48" i="8"/>
  <c r="C48" i="8"/>
  <c r="D44" i="8"/>
  <c r="C44" i="8"/>
  <c r="D40" i="8"/>
  <c r="C40" i="8"/>
  <c r="D36" i="8"/>
  <c r="C36" i="8"/>
  <c r="D32" i="8"/>
  <c r="C32" i="8"/>
  <c r="D28" i="8"/>
  <c r="C28" i="8"/>
  <c r="D24" i="8"/>
  <c r="C24" i="8"/>
  <c r="D20" i="8"/>
  <c r="C20" i="8"/>
  <c r="D16" i="8"/>
  <c r="C16" i="8"/>
  <c r="D12" i="8"/>
  <c r="C12" i="8"/>
  <c r="D107" i="8"/>
  <c r="C107" i="8"/>
  <c r="D103" i="8"/>
  <c r="C103" i="8"/>
  <c r="D99" i="8"/>
  <c r="C99" i="8"/>
  <c r="D95" i="8"/>
  <c r="C95" i="8"/>
  <c r="D91" i="8"/>
  <c r="C91" i="8"/>
  <c r="D87" i="8"/>
  <c r="C87" i="8"/>
  <c r="D83" i="8"/>
  <c r="C83" i="8"/>
  <c r="D79" i="8"/>
  <c r="C79" i="8"/>
  <c r="D75" i="8"/>
  <c r="C75" i="8"/>
  <c r="D71" i="8"/>
  <c r="C71" i="8"/>
  <c r="D67" i="8"/>
  <c r="C67" i="8"/>
  <c r="D63" i="8"/>
  <c r="C63" i="8"/>
  <c r="D59" i="8"/>
  <c r="C59" i="8"/>
  <c r="D55" i="8"/>
  <c r="C55" i="8"/>
  <c r="D51" i="8"/>
  <c r="C51" i="8"/>
  <c r="D47" i="8"/>
  <c r="C47" i="8"/>
  <c r="D43" i="8"/>
  <c r="C43" i="8"/>
  <c r="D39" i="8"/>
  <c r="C39" i="8"/>
  <c r="D35" i="8"/>
  <c r="C35" i="8"/>
  <c r="D31" i="8"/>
  <c r="C31" i="8"/>
  <c r="D27" i="8"/>
  <c r="C27" i="8"/>
  <c r="D23" i="8"/>
  <c r="C23" i="8"/>
  <c r="D19" i="8"/>
  <c r="C19" i="8"/>
  <c r="D15" i="8"/>
  <c r="C15" i="8"/>
  <c r="D11" i="8"/>
  <c r="C11" i="8"/>
  <c r="F33" i="7" l="1"/>
  <c r="F21" i="7"/>
  <c r="F33" i="6" l="1"/>
  <c r="F21" i="6"/>
  <c r="AD48" i="1" l="1"/>
  <c r="AC103" i="1" s="1"/>
  <c r="AG41" i="1"/>
  <c r="AD47" i="1"/>
  <c r="AE50" i="1" s="1"/>
  <c r="F18" i="7" s="1"/>
  <c r="X77" i="1"/>
  <c r="W77" i="1"/>
  <c r="U77" i="1"/>
  <c r="T77" i="1"/>
  <c r="S77" i="1"/>
  <c r="R77" i="1"/>
  <c r="R32" i="1"/>
  <c r="X32" i="1"/>
  <c r="W32" i="1"/>
  <c r="T32" i="1"/>
  <c r="U32" i="1"/>
  <c r="S32" i="1"/>
  <c r="AG42" i="1" l="1"/>
  <c r="AG38" i="1"/>
  <c r="AG44" i="1"/>
  <c r="AG40" i="1"/>
  <c r="AP33" i="1"/>
  <c r="AQ33" i="1" s="1"/>
  <c r="AE47" i="1"/>
  <c r="AG43" i="1"/>
  <c r="AE48" i="1"/>
  <c r="AG46" i="1"/>
  <c r="AP43" i="1"/>
  <c r="AD103" i="1"/>
  <c r="AG45" i="1"/>
  <c r="AG39" i="1"/>
  <c r="AG37" i="1"/>
  <c r="F29" i="6"/>
  <c r="C27" i="3"/>
  <c r="C18" i="3"/>
  <c r="A37" i="1"/>
  <c r="A38" i="1" s="1"/>
  <c r="M33" i="1"/>
  <c r="B36" i="1"/>
  <c r="B89" i="1" s="1"/>
  <c r="N78" i="1" s="1"/>
  <c r="A88" i="1"/>
  <c r="M77" i="1" s="1"/>
  <c r="M32" i="1"/>
  <c r="M79" i="1"/>
  <c r="M80" i="1" s="1"/>
  <c r="M81" i="1" s="1"/>
  <c r="M82" i="1" s="1"/>
  <c r="M83" i="1" s="1"/>
  <c r="M84" i="1" s="1"/>
  <c r="M85" i="1" s="1"/>
  <c r="M86" i="1" s="1"/>
  <c r="M87" i="1" s="1"/>
  <c r="M88" i="1" s="1"/>
  <c r="M89" i="1" s="1"/>
  <c r="M90" i="1" s="1"/>
  <c r="M91" i="1" s="1"/>
  <c r="M92" i="1" s="1"/>
  <c r="M93" i="1" s="1"/>
  <c r="M94" i="1" s="1"/>
  <c r="M95" i="1" s="1"/>
  <c r="A90" i="1"/>
  <c r="A91" i="1" s="1"/>
  <c r="A92" i="1" s="1"/>
  <c r="A93" i="1" s="1"/>
  <c r="A94" i="1" s="1"/>
  <c r="A95" i="1" s="1"/>
  <c r="A96" i="1" s="1"/>
  <c r="A97" i="1" s="1"/>
  <c r="A98" i="1" s="1"/>
  <c r="A99" i="1" s="1"/>
  <c r="A100" i="1" s="1"/>
  <c r="A101" i="1" s="1"/>
  <c r="A102" i="1" s="1"/>
  <c r="A103" i="1" s="1"/>
  <c r="A104" i="1" s="1"/>
  <c r="A105" i="1" s="1"/>
  <c r="A106" i="1" s="1"/>
  <c r="AE49" i="1" l="1"/>
  <c r="F19" i="7" s="1"/>
  <c r="AQ43" i="1"/>
  <c r="AU33" i="1"/>
  <c r="AF36" i="1"/>
  <c r="AP47" i="1"/>
  <c r="AV33" i="1"/>
  <c r="B38" i="1"/>
  <c r="B91" i="1" s="1"/>
  <c r="N80" i="1" s="1"/>
  <c r="A39" i="1"/>
  <c r="A40" i="1" s="1"/>
  <c r="M35" i="1"/>
  <c r="B37" i="1"/>
  <c r="B90" i="1" s="1"/>
  <c r="N79" i="1" s="1"/>
  <c r="M34" i="1"/>
  <c r="D108" i="1"/>
  <c r="C108" i="1"/>
  <c r="F106" i="1"/>
  <c r="F96" i="1"/>
  <c r="F91" i="1"/>
  <c r="F103" i="1"/>
  <c r="F95" i="1"/>
  <c r="F99" i="1"/>
  <c r="F47" i="1"/>
  <c r="C107" i="1"/>
  <c r="D110" i="1" s="1"/>
  <c r="F30" i="6" s="1"/>
  <c r="F45" i="1"/>
  <c r="N33" i="1"/>
  <c r="F44" i="1"/>
  <c r="F39" i="1"/>
  <c r="F41" i="1"/>
  <c r="F46" i="1"/>
  <c r="F40" i="1"/>
  <c r="F100" i="1"/>
  <c r="O95" i="1"/>
  <c r="P95" i="1" s="1"/>
  <c r="F101" i="1"/>
  <c r="AP46" i="1" l="1"/>
  <c r="AV43" i="1"/>
  <c r="AU43" i="1"/>
  <c r="AF46" i="1"/>
  <c r="B39" i="1"/>
  <c r="N36" i="1" s="1"/>
  <c r="M36" i="1"/>
  <c r="N34" i="1"/>
  <c r="N35" i="1"/>
  <c r="D54" i="1"/>
  <c r="C54" i="1"/>
  <c r="D57" i="1" s="1"/>
  <c r="F18" i="6" s="1"/>
  <c r="O50" i="1"/>
  <c r="P50" i="1" s="1"/>
  <c r="E53" i="1" s="1"/>
  <c r="C55" i="1"/>
  <c r="B115" i="1" s="1"/>
  <c r="F38" i="7" s="1"/>
  <c r="O78" i="1"/>
  <c r="P78" i="1" s="1"/>
  <c r="U78" i="1" s="1"/>
  <c r="F94" i="1"/>
  <c r="F102" i="1"/>
  <c r="F97" i="1"/>
  <c r="F98" i="1"/>
  <c r="F92" i="1"/>
  <c r="F93" i="1"/>
  <c r="F105" i="1"/>
  <c r="F104" i="1"/>
  <c r="F52" i="1"/>
  <c r="D55" i="1"/>
  <c r="F48" i="1"/>
  <c r="F37" i="1"/>
  <c r="D107" i="1"/>
  <c r="O33" i="1"/>
  <c r="P33" i="1" s="1"/>
  <c r="O54" i="1" s="1"/>
  <c r="F90" i="1"/>
  <c r="T95" i="1"/>
  <c r="U95" i="1"/>
  <c r="F43" i="1"/>
  <c r="F50" i="1"/>
  <c r="F49" i="1"/>
  <c r="F51" i="1"/>
  <c r="F38" i="1"/>
  <c r="F53" i="1"/>
  <c r="F42" i="1"/>
  <c r="E106" i="1"/>
  <c r="A41" i="1"/>
  <c r="B40" i="1"/>
  <c r="M37" i="1"/>
  <c r="B92" i="1" l="1"/>
  <c r="N81" i="1" s="1"/>
  <c r="AQ37" i="1"/>
  <c r="AQ41" i="1"/>
  <c r="AQ39" i="1"/>
  <c r="AQ35" i="1"/>
  <c r="AQ36" i="1"/>
  <c r="AQ34" i="1"/>
  <c r="AQ42" i="1"/>
  <c r="AQ40" i="1"/>
  <c r="AQ38" i="1"/>
  <c r="F38" i="6"/>
  <c r="C115" i="1"/>
  <c r="T50" i="1"/>
  <c r="U50" i="1"/>
  <c r="T78" i="1"/>
  <c r="O99" i="1"/>
  <c r="E89" i="1"/>
  <c r="D109" i="1"/>
  <c r="F31" i="6" s="1"/>
  <c r="E36" i="1"/>
  <c r="D56" i="1"/>
  <c r="F19" i="6" s="1"/>
  <c r="U33" i="1"/>
  <c r="T33" i="1"/>
  <c r="N37" i="1"/>
  <c r="B93" i="1"/>
  <c r="N82" i="1" s="1"/>
  <c r="A42" i="1"/>
  <c r="B41" i="1"/>
  <c r="M38" i="1"/>
  <c r="AZ43" i="1" l="1"/>
  <c r="AU42" i="1"/>
  <c r="AV42" i="1"/>
  <c r="AF45" i="1"/>
  <c r="AP42" i="1"/>
  <c r="AZ35" i="1"/>
  <c r="AV34" i="1"/>
  <c r="AP34" i="1"/>
  <c r="AR34" i="1" s="1"/>
  <c r="AU34" i="1"/>
  <c r="AF37" i="1"/>
  <c r="AZ34" i="1"/>
  <c r="AF44" i="1"/>
  <c r="AP41" i="1"/>
  <c r="AU41" i="1"/>
  <c r="AZ42" i="1"/>
  <c r="AV41" i="1"/>
  <c r="AF41" i="1"/>
  <c r="AZ39" i="1"/>
  <c r="AV38" i="1"/>
  <c r="AP38" i="1"/>
  <c r="AU38" i="1"/>
  <c r="AU36" i="1"/>
  <c r="AP36" i="1"/>
  <c r="AF39" i="1"/>
  <c r="AZ37" i="1"/>
  <c r="AV36" i="1"/>
  <c r="AV37" i="1"/>
  <c r="AU37" i="1"/>
  <c r="AZ38" i="1"/>
  <c r="AF40" i="1"/>
  <c r="AP37" i="1"/>
  <c r="AU39" i="1"/>
  <c r="AV39" i="1"/>
  <c r="AZ40" i="1"/>
  <c r="AP39" i="1"/>
  <c r="AF42" i="1"/>
  <c r="AF43" i="1"/>
  <c r="AP40" i="1"/>
  <c r="AV40" i="1"/>
  <c r="AZ41" i="1"/>
  <c r="AU40" i="1"/>
  <c r="AV35" i="1"/>
  <c r="AU35" i="1"/>
  <c r="AF38" i="1"/>
  <c r="AZ36" i="1"/>
  <c r="AP35" i="1"/>
  <c r="B94" i="1"/>
  <c r="N83" i="1" s="1"/>
  <c r="N38" i="1"/>
  <c r="B42" i="1"/>
  <c r="M39" i="1"/>
  <c r="A43" i="1"/>
  <c r="AR37" i="1" l="1"/>
  <c r="AW37" i="1" s="1"/>
  <c r="AR35" i="1"/>
  <c r="AW35" i="1" s="1"/>
  <c r="AR40" i="1"/>
  <c r="AW40" i="1" s="1"/>
  <c r="AR39" i="1"/>
  <c r="AW39" i="1" s="1"/>
  <c r="AI37" i="1"/>
  <c r="AH37" i="1"/>
  <c r="AI43" i="1"/>
  <c r="AH43" i="1"/>
  <c r="AI41" i="1"/>
  <c r="AH41" i="1"/>
  <c r="AI38" i="1"/>
  <c r="AH38" i="1"/>
  <c r="AI42" i="1"/>
  <c r="AH42" i="1"/>
  <c r="AI39" i="1"/>
  <c r="AH39" i="1"/>
  <c r="AR38" i="1"/>
  <c r="AI44" i="1"/>
  <c r="AH44" i="1"/>
  <c r="AW34" i="1"/>
  <c r="AS34" i="1"/>
  <c r="AX34" i="1" s="1"/>
  <c r="AT34" i="1"/>
  <c r="AY34" i="1" s="1"/>
  <c r="AI45" i="1"/>
  <c r="AH45" i="1"/>
  <c r="AI46" i="1"/>
  <c r="AH46" i="1"/>
  <c r="AR36" i="1"/>
  <c r="AI40" i="1"/>
  <c r="AH40" i="1"/>
  <c r="AR41" i="1"/>
  <c r="AR42" i="1"/>
  <c r="AR43" i="1"/>
  <c r="M40" i="1"/>
  <c r="B43" i="1"/>
  <c r="A44" i="1"/>
  <c r="N39" i="1"/>
  <c r="B95" i="1"/>
  <c r="N84" i="1" s="1"/>
  <c r="AT37" i="1" l="1"/>
  <c r="AY37" i="1" s="1"/>
  <c r="AS37" i="1"/>
  <c r="AX37" i="1" s="1"/>
  <c r="AT35" i="1"/>
  <c r="AY35" i="1" s="1"/>
  <c r="AS35" i="1"/>
  <c r="AX35" i="1" s="1"/>
  <c r="AT40" i="1"/>
  <c r="AY40" i="1" s="1"/>
  <c r="AS40" i="1"/>
  <c r="AX40" i="1" s="1"/>
  <c r="AT39" i="1"/>
  <c r="AY39" i="1" s="1"/>
  <c r="AS39" i="1"/>
  <c r="AX39" i="1" s="1"/>
  <c r="AJ43" i="1"/>
  <c r="AJ38" i="1"/>
  <c r="AW42" i="1"/>
  <c r="AJ45" i="1" s="1"/>
  <c r="AS42" i="1"/>
  <c r="AX42" i="1" s="1"/>
  <c r="AT42" i="1"/>
  <c r="AY42" i="1" s="1"/>
  <c r="AJ42" i="1"/>
  <c r="AJ37" i="1"/>
  <c r="AS43" i="1"/>
  <c r="AX43" i="1" s="1"/>
  <c r="AW43" i="1"/>
  <c r="AJ46" i="1" s="1"/>
  <c r="AT43" i="1"/>
  <c r="AY43" i="1" s="1"/>
  <c r="AT36" i="1"/>
  <c r="AY36" i="1" s="1"/>
  <c r="AS36" i="1"/>
  <c r="AX36" i="1" s="1"/>
  <c r="AW36" i="1"/>
  <c r="AJ39" i="1" s="1"/>
  <c r="AW38" i="1"/>
  <c r="AJ41" i="1" s="1"/>
  <c r="AT38" i="1"/>
  <c r="AY38" i="1" s="1"/>
  <c r="AS38" i="1"/>
  <c r="AX38" i="1" s="1"/>
  <c r="AS41" i="1"/>
  <c r="AX41" i="1" s="1"/>
  <c r="AT41" i="1"/>
  <c r="AY41" i="1" s="1"/>
  <c r="AW41" i="1"/>
  <c r="AJ44" i="1" s="1"/>
  <c r="AJ40" i="1"/>
  <c r="A45" i="1"/>
  <c r="M41" i="1"/>
  <c r="B44" i="1"/>
  <c r="B96" i="1"/>
  <c r="N85" i="1" s="1"/>
  <c r="N40" i="1"/>
  <c r="AJ47" i="1" l="1"/>
  <c r="F20" i="7" s="1"/>
  <c r="N41" i="1"/>
  <c r="B97" i="1"/>
  <c r="N86" i="1" s="1"/>
  <c r="B45" i="1"/>
  <c r="M42" i="1"/>
  <c r="A46" i="1"/>
  <c r="A47" i="1" l="1"/>
  <c r="B46" i="1"/>
  <c r="M43" i="1"/>
  <c r="B98" i="1"/>
  <c r="N87" i="1" s="1"/>
  <c r="N42" i="1"/>
  <c r="N43" i="1" l="1"/>
  <c r="B99" i="1"/>
  <c r="N88" i="1" s="1"/>
  <c r="B47" i="1"/>
  <c r="M44" i="1"/>
  <c r="A48" i="1"/>
  <c r="A49" i="1" l="1"/>
  <c r="M45" i="1"/>
  <c r="B48" i="1"/>
  <c r="B100" i="1"/>
  <c r="N89" i="1" s="1"/>
  <c r="N44" i="1"/>
  <c r="A50" i="1" l="1"/>
  <c r="B49" i="1"/>
  <c r="M46" i="1"/>
  <c r="N45" i="1"/>
  <c r="B101" i="1"/>
  <c r="N90" i="1" s="1"/>
  <c r="B50" i="1" l="1"/>
  <c r="A51" i="1"/>
  <c r="M47" i="1"/>
  <c r="B102" i="1"/>
  <c r="N91" i="1" s="1"/>
  <c r="N46" i="1"/>
  <c r="N47" i="1" l="1"/>
  <c r="B103" i="1"/>
  <c r="N92" i="1" s="1"/>
  <c r="A52" i="1"/>
  <c r="M48" i="1"/>
  <c r="B51" i="1"/>
  <c r="B104" i="1" l="1"/>
  <c r="N93" i="1" s="1"/>
  <c r="N48" i="1"/>
  <c r="M49" i="1"/>
  <c r="A53" i="1"/>
  <c r="B52" i="1"/>
  <c r="B105" i="1" l="1"/>
  <c r="N94" i="1" s="1"/>
  <c r="N49" i="1"/>
  <c r="B53" i="1"/>
  <c r="M50" i="1"/>
  <c r="N50" i="1" l="1"/>
  <c r="O53" i="1" s="1"/>
  <c r="B106" i="1"/>
  <c r="N95" i="1" s="1"/>
  <c r="O98" i="1" s="1"/>
  <c r="P38" i="1" l="1"/>
  <c r="P35" i="1"/>
  <c r="P36" i="1"/>
  <c r="P44" i="1"/>
  <c r="P40" i="1"/>
  <c r="P41" i="1"/>
  <c r="P46" i="1"/>
  <c r="P48" i="1"/>
  <c r="P37" i="1"/>
  <c r="P34" i="1"/>
  <c r="P39" i="1"/>
  <c r="P49" i="1"/>
  <c r="P47" i="1"/>
  <c r="P45" i="1"/>
  <c r="P42" i="1"/>
  <c r="P43" i="1"/>
  <c r="P79" i="1"/>
  <c r="P80" i="1"/>
  <c r="P93" i="1"/>
  <c r="P84" i="1"/>
  <c r="P90" i="1"/>
  <c r="P83" i="1"/>
  <c r="P87" i="1"/>
  <c r="P88" i="1"/>
  <c r="P91" i="1"/>
  <c r="P94" i="1"/>
  <c r="P82" i="1"/>
  <c r="P85" i="1"/>
  <c r="P81" i="1"/>
  <c r="P86" i="1"/>
  <c r="P92" i="1"/>
  <c r="P89" i="1"/>
  <c r="U85" i="1" l="1"/>
  <c r="T85" i="1"/>
  <c r="T94" i="1"/>
  <c r="U94" i="1"/>
  <c r="U34" i="1"/>
  <c r="T34" i="1"/>
  <c r="T35" i="1"/>
  <c r="U35" i="1"/>
  <c r="U91" i="1"/>
  <c r="T91" i="1"/>
  <c r="T79" i="1"/>
  <c r="U79" i="1"/>
  <c r="U37" i="1"/>
  <c r="T37" i="1"/>
  <c r="U89" i="1"/>
  <c r="T89" i="1"/>
  <c r="U88" i="1"/>
  <c r="T88" i="1"/>
  <c r="T43" i="1"/>
  <c r="U43" i="1"/>
  <c r="U48" i="1"/>
  <c r="T48" i="1"/>
  <c r="U92" i="1"/>
  <c r="T92" i="1"/>
  <c r="T87" i="1"/>
  <c r="U87" i="1"/>
  <c r="U42" i="1"/>
  <c r="T42" i="1"/>
  <c r="U46" i="1"/>
  <c r="T46" i="1"/>
  <c r="T86" i="1"/>
  <c r="U86" i="1"/>
  <c r="U83" i="1"/>
  <c r="T83" i="1"/>
  <c r="U45" i="1"/>
  <c r="T45" i="1"/>
  <c r="T41" i="1"/>
  <c r="U41" i="1"/>
  <c r="U81" i="1"/>
  <c r="T81" i="1"/>
  <c r="U90" i="1"/>
  <c r="T90" i="1"/>
  <c r="U47" i="1"/>
  <c r="T47" i="1"/>
  <c r="U40" i="1"/>
  <c r="T40" i="1"/>
  <c r="U84" i="1"/>
  <c r="T84" i="1"/>
  <c r="U49" i="1"/>
  <c r="T49" i="1"/>
  <c r="T44" i="1"/>
  <c r="U44" i="1"/>
  <c r="U82" i="1"/>
  <c r="T82" i="1"/>
  <c r="U93" i="1"/>
  <c r="T93" i="1"/>
  <c r="U39" i="1"/>
  <c r="T39" i="1"/>
  <c r="T36" i="1"/>
  <c r="U36" i="1"/>
  <c r="U80" i="1"/>
  <c r="T80" i="1"/>
  <c r="U38" i="1"/>
  <c r="T38" i="1"/>
  <c r="O89" i="1"/>
  <c r="E100" i="1"/>
  <c r="Y90" i="1"/>
  <c r="O43" i="1"/>
  <c r="E46" i="1"/>
  <c r="Y44" i="1"/>
  <c r="Y88" i="1"/>
  <c r="E98" i="1"/>
  <c r="O87" i="1"/>
  <c r="Y47" i="1"/>
  <c r="O46" i="1"/>
  <c r="E49" i="1"/>
  <c r="O45" i="1"/>
  <c r="E48" i="1"/>
  <c r="Y46" i="1"/>
  <c r="O81" i="1"/>
  <c r="Y82" i="1"/>
  <c r="E92" i="1"/>
  <c r="Y48" i="1"/>
  <c r="O47" i="1"/>
  <c r="E50" i="1"/>
  <c r="O85" i="1"/>
  <c r="Y86" i="1"/>
  <c r="E96" i="1"/>
  <c r="O49" i="1"/>
  <c r="E52" i="1"/>
  <c r="Y50" i="1"/>
  <c r="E39" i="1"/>
  <c r="O36" i="1"/>
  <c r="Y37" i="1"/>
  <c r="O88" i="1"/>
  <c r="E99" i="1"/>
  <c r="Y89" i="1"/>
  <c r="Y93" i="1"/>
  <c r="O92" i="1"/>
  <c r="E103" i="1"/>
  <c r="E45" i="1"/>
  <c r="O42" i="1"/>
  <c r="Y43" i="1"/>
  <c r="E97" i="1"/>
  <c r="O86" i="1"/>
  <c r="Y87" i="1"/>
  <c r="O83" i="1"/>
  <c r="E94" i="1"/>
  <c r="Y84" i="1"/>
  <c r="O41" i="1"/>
  <c r="E44" i="1"/>
  <c r="Y42" i="1"/>
  <c r="E101" i="1"/>
  <c r="O90" i="1"/>
  <c r="Y91" i="1"/>
  <c r="O40" i="1"/>
  <c r="Y41" i="1"/>
  <c r="E43" i="1"/>
  <c r="Y85" i="1"/>
  <c r="E95" i="1"/>
  <c r="O84" i="1"/>
  <c r="E47" i="1"/>
  <c r="O44" i="1"/>
  <c r="Y45" i="1"/>
  <c r="O82" i="1"/>
  <c r="E93" i="1"/>
  <c r="Y83" i="1"/>
  <c r="O93" i="1"/>
  <c r="Y94" i="1"/>
  <c r="E104" i="1"/>
  <c r="Y40" i="1"/>
  <c r="O39" i="1"/>
  <c r="E42" i="1"/>
  <c r="O94" i="1"/>
  <c r="Y95" i="1"/>
  <c r="E105" i="1"/>
  <c r="E91" i="1"/>
  <c r="Y81" i="1"/>
  <c r="O80" i="1"/>
  <c r="O34" i="1"/>
  <c r="Q34" i="1" s="1"/>
  <c r="E37" i="1"/>
  <c r="Y35" i="1"/>
  <c r="Y34" i="1"/>
  <c r="O35" i="1"/>
  <c r="Y36" i="1"/>
  <c r="E38" i="1"/>
  <c r="E51" i="1"/>
  <c r="O48" i="1"/>
  <c r="Y49" i="1"/>
  <c r="Y92" i="1"/>
  <c r="O91" i="1"/>
  <c r="E102" i="1"/>
  <c r="E90" i="1"/>
  <c r="O79" i="1"/>
  <c r="Q79" i="1" s="1"/>
  <c r="Y80" i="1"/>
  <c r="Y79" i="1"/>
  <c r="O37" i="1"/>
  <c r="Y38" i="1"/>
  <c r="E40" i="1"/>
  <c r="E41" i="1"/>
  <c r="O38" i="1"/>
  <c r="Y39" i="1"/>
  <c r="Q48" i="1" l="1"/>
  <c r="S48" i="1" s="1"/>
  <c r="X48" i="1" s="1"/>
  <c r="Q90" i="1"/>
  <c r="S90" i="1" s="1"/>
  <c r="X90" i="1" s="1"/>
  <c r="R34" i="1"/>
  <c r="W34" i="1" s="1"/>
  <c r="S34" i="1"/>
  <c r="X34" i="1" s="1"/>
  <c r="S79" i="1"/>
  <c r="X79" i="1" s="1"/>
  <c r="R79" i="1"/>
  <c r="W79" i="1" s="1"/>
  <c r="Q40" i="1"/>
  <c r="Q35" i="1"/>
  <c r="Q38" i="1"/>
  <c r="Q82" i="1"/>
  <c r="Q83" i="1"/>
  <c r="Q36" i="1"/>
  <c r="Q87" i="1"/>
  <c r="Q45" i="1"/>
  <c r="Q92" i="1"/>
  <c r="Q80" i="1"/>
  <c r="H38" i="1"/>
  <c r="G38" i="1"/>
  <c r="H93" i="1"/>
  <c r="G93" i="1"/>
  <c r="H47" i="1"/>
  <c r="G47" i="1"/>
  <c r="H48" i="1"/>
  <c r="G48" i="1"/>
  <c r="H41" i="1"/>
  <c r="G41" i="1"/>
  <c r="V34" i="1"/>
  <c r="H104" i="1"/>
  <c r="G104" i="1"/>
  <c r="H95" i="1"/>
  <c r="G95" i="1"/>
  <c r="Q42" i="1"/>
  <c r="H99" i="1"/>
  <c r="G99" i="1"/>
  <c r="H39" i="1"/>
  <c r="G39" i="1"/>
  <c r="H92" i="1"/>
  <c r="G92" i="1"/>
  <c r="H98" i="1"/>
  <c r="G98" i="1"/>
  <c r="Q43" i="1"/>
  <c r="H40" i="1"/>
  <c r="G40" i="1"/>
  <c r="V79" i="1"/>
  <c r="Q94" i="1"/>
  <c r="Q95" i="1"/>
  <c r="H44" i="1"/>
  <c r="G44" i="1"/>
  <c r="Q86" i="1"/>
  <c r="G45" i="1"/>
  <c r="H45" i="1"/>
  <c r="H96" i="1"/>
  <c r="G96" i="1"/>
  <c r="H46" i="1"/>
  <c r="G46" i="1"/>
  <c r="H37" i="1"/>
  <c r="G37" i="1"/>
  <c r="Q84" i="1"/>
  <c r="Q41" i="1"/>
  <c r="H103" i="1"/>
  <c r="G103" i="1"/>
  <c r="H90" i="1"/>
  <c r="G90" i="1"/>
  <c r="G51" i="1"/>
  <c r="H51" i="1"/>
  <c r="H97" i="1"/>
  <c r="G97" i="1"/>
  <c r="Q88" i="1"/>
  <c r="H50" i="1"/>
  <c r="G50" i="1"/>
  <c r="Q46" i="1"/>
  <c r="Q37" i="1"/>
  <c r="H102" i="1"/>
  <c r="G102" i="1"/>
  <c r="H42" i="1"/>
  <c r="G42" i="1"/>
  <c r="Q93" i="1"/>
  <c r="H43" i="1"/>
  <c r="G43" i="1"/>
  <c r="H101" i="1"/>
  <c r="G101" i="1"/>
  <c r="H94" i="1"/>
  <c r="G94" i="1"/>
  <c r="H52" i="1"/>
  <c r="G52" i="1"/>
  <c r="H53" i="1"/>
  <c r="G53" i="1"/>
  <c r="Q47" i="1"/>
  <c r="H100" i="1"/>
  <c r="G100" i="1"/>
  <c r="H105" i="1"/>
  <c r="G105" i="1"/>
  <c r="H106" i="1"/>
  <c r="G106" i="1"/>
  <c r="Q85" i="1"/>
  <c r="G49" i="1"/>
  <c r="H49" i="1"/>
  <c r="Q81" i="1"/>
  <c r="Q91" i="1"/>
  <c r="H91" i="1"/>
  <c r="G91" i="1"/>
  <c r="Q39" i="1"/>
  <c r="Q44" i="1"/>
  <c r="Q49" i="1"/>
  <c r="Q50" i="1"/>
  <c r="Q89" i="1"/>
  <c r="V48" i="1" l="1"/>
  <c r="R48" i="1"/>
  <c r="W48" i="1" s="1"/>
  <c r="I37" i="1"/>
  <c r="R90" i="1"/>
  <c r="W90" i="1" s="1"/>
  <c r="V90" i="1"/>
  <c r="I101" i="1" s="1"/>
  <c r="R49" i="1"/>
  <c r="W49" i="1" s="1"/>
  <c r="S49" i="1"/>
  <c r="X49" i="1" s="1"/>
  <c r="S37" i="1"/>
  <c r="X37" i="1" s="1"/>
  <c r="R37" i="1"/>
  <c r="W37" i="1" s="1"/>
  <c r="S86" i="1"/>
  <c r="X86" i="1" s="1"/>
  <c r="R86" i="1"/>
  <c r="W86" i="1" s="1"/>
  <c r="S88" i="1"/>
  <c r="X88" i="1" s="1"/>
  <c r="R88" i="1"/>
  <c r="W88" i="1" s="1"/>
  <c r="S43" i="1"/>
  <c r="X43" i="1" s="1"/>
  <c r="R43" i="1"/>
  <c r="W43" i="1" s="1"/>
  <c r="S82" i="1"/>
  <c r="R82" i="1"/>
  <c r="W82" i="1" s="1"/>
  <c r="S91" i="1"/>
  <c r="X91" i="1" s="1"/>
  <c r="R91" i="1"/>
  <c r="W91" i="1" s="1"/>
  <c r="S95" i="1"/>
  <c r="X95" i="1" s="1"/>
  <c r="R95" i="1"/>
  <c r="W95" i="1" s="1"/>
  <c r="S42" i="1"/>
  <c r="X42" i="1" s="1"/>
  <c r="R42" i="1"/>
  <c r="W42" i="1" s="1"/>
  <c r="V38" i="1"/>
  <c r="I41" i="1" s="1"/>
  <c r="R38" i="1"/>
  <c r="W38" i="1" s="1"/>
  <c r="S38" i="1"/>
  <c r="X38" i="1" s="1"/>
  <c r="R81" i="1"/>
  <c r="W81" i="1" s="1"/>
  <c r="S81" i="1"/>
  <c r="X81" i="1" s="1"/>
  <c r="R94" i="1"/>
  <c r="W94" i="1" s="1"/>
  <c r="S94" i="1"/>
  <c r="X94" i="1" s="1"/>
  <c r="S80" i="1"/>
  <c r="X80" i="1" s="1"/>
  <c r="R80" i="1"/>
  <c r="W80" i="1" s="1"/>
  <c r="V35" i="1"/>
  <c r="I38" i="1" s="1"/>
  <c r="R35" i="1"/>
  <c r="W35" i="1" s="1"/>
  <c r="S35" i="1"/>
  <c r="X35" i="1" s="1"/>
  <c r="S50" i="1"/>
  <c r="X50" i="1" s="1"/>
  <c r="R50" i="1"/>
  <c r="W50" i="1" s="1"/>
  <c r="R41" i="1"/>
  <c r="W41" i="1" s="1"/>
  <c r="S41" i="1"/>
  <c r="X41" i="1" s="1"/>
  <c r="V92" i="1"/>
  <c r="I103" i="1" s="1"/>
  <c r="R92" i="1"/>
  <c r="W92" i="1" s="1"/>
  <c r="S92" i="1"/>
  <c r="X92" i="1" s="1"/>
  <c r="S89" i="1"/>
  <c r="X89" i="1" s="1"/>
  <c r="R89" i="1"/>
  <c r="W89" i="1" s="1"/>
  <c r="V45" i="1"/>
  <c r="I48" i="1" s="1"/>
  <c r="S45" i="1"/>
  <c r="X45" i="1" s="1"/>
  <c r="R45" i="1"/>
  <c r="W45" i="1" s="1"/>
  <c r="S44" i="1"/>
  <c r="X44" i="1" s="1"/>
  <c r="R44" i="1"/>
  <c r="W44" i="1" s="1"/>
  <c r="S85" i="1"/>
  <c r="X85" i="1" s="1"/>
  <c r="R85" i="1"/>
  <c r="W85" i="1" s="1"/>
  <c r="S46" i="1"/>
  <c r="X46" i="1" s="1"/>
  <c r="R46" i="1"/>
  <c r="W46" i="1" s="1"/>
  <c r="R84" i="1"/>
  <c r="W84" i="1" s="1"/>
  <c r="S84" i="1"/>
  <c r="X84" i="1" s="1"/>
  <c r="S87" i="1"/>
  <c r="X87" i="1" s="1"/>
  <c r="R87" i="1"/>
  <c r="W87" i="1" s="1"/>
  <c r="V40" i="1"/>
  <c r="I43" i="1" s="1"/>
  <c r="S40" i="1"/>
  <c r="X40" i="1" s="1"/>
  <c r="R40" i="1"/>
  <c r="W40" i="1" s="1"/>
  <c r="R47" i="1"/>
  <c r="W47" i="1" s="1"/>
  <c r="S47" i="1"/>
  <c r="X47" i="1" s="1"/>
  <c r="S39" i="1"/>
  <c r="X39" i="1" s="1"/>
  <c r="R39" i="1"/>
  <c r="W39" i="1" s="1"/>
  <c r="S36" i="1"/>
  <c r="X36" i="1" s="1"/>
  <c r="R36" i="1"/>
  <c r="W36" i="1" s="1"/>
  <c r="S93" i="1"/>
  <c r="X93" i="1" s="1"/>
  <c r="R93" i="1"/>
  <c r="W93" i="1" s="1"/>
  <c r="S83" i="1"/>
  <c r="X83" i="1" s="1"/>
  <c r="R83" i="1"/>
  <c r="W83" i="1" s="1"/>
  <c r="V87" i="1"/>
  <c r="I98" i="1" s="1"/>
  <c r="X82" i="1"/>
  <c r="I51" i="1"/>
  <c r="V83" i="1"/>
  <c r="I94" i="1" s="1"/>
  <c r="V82" i="1"/>
  <c r="I93" i="1" s="1"/>
  <c r="V36" i="1"/>
  <c r="I39" i="1" s="1"/>
  <c r="I90" i="1"/>
  <c r="V80" i="1"/>
  <c r="I91" i="1" s="1"/>
  <c r="V39" i="1"/>
  <c r="I42" i="1" s="1"/>
  <c r="V93" i="1"/>
  <c r="I104" i="1" s="1"/>
  <c r="V95" i="1"/>
  <c r="I106" i="1" s="1"/>
  <c r="V88" i="1"/>
  <c r="I99" i="1" s="1"/>
  <c r="V84" i="1"/>
  <c r="I95" i="1" s="1"/>
  <c r="V94" i="1"/>
  <c r="I105" i="1" s="1"/>
  <c r="V49" i="1"/>
  <c r="I52" i="1" s="1"/>
  <c r="V46" i="1"/>
  <c r="I49" i="1" s="1"/>
  <c r="V44" i="1"/>
  <c r="I47" i="1" s="1"/>
  <c r="V91" i="1"/>
  <c r="I102" i="1" s="1"/>
  <c r="V89" i="1"/>
  <c r="I100" i="1" s="1"/>
  <c r="V81" i="1"/>
  <c r="I92" i="1" s="1"/>
  <c r="V43" i="1"/>
  <c r="I46" i="1" s="1"/>
  <c r="V42" i="1"/>
  <c r="I45" i="1" s="1"/>
  <c r="V50" i="1"/>
  <c r="I53" i="1" s="1"/>
  <c r="V85" i="1"/>
  <c r="I96" i="1" s="1"/>
  <c r="V47" i="1"/>
  <c r="I50" i="1" s="1"/>
  <c r="V37" i="1"/>
  <c r="I40" i="1" s="1"/>
  <c r="V41" i="1"/>
  <c r="I44" i="1" s="1"/>
  <c r="V86" i="1"/>
  <c r="I97" i="1" s="1"/>
  <c r="I107" i="1" l="1"/>
  <c r="F32" i="6" s="1"/>
  <c r="I54" i="1"/>
  <c r="F20" i="6" s="1"/>
</calcChain>
</file>

<file path=xl/comments1.xml><?xml version="1.0" encoding="utf-8"?>
<comments xmlns="http://schemas.openxmlformats.org/spreadsheetml/2006/main">
  <authors>
    <author>Peter Kaidin Frederiksen</author>
    <author>Lars Møller Albrecht</author>
  </authors>
  <commentList>
    <comment ref="I14" authorId="0" shapeId="0">
      <text>
        <r>
          <rPr>
            <b/>
            <sz val="9"/>
            <color indexed="81"/>
            <rFont val="Tahoma"/>
            <charset val="1"/>
          </rPr>
          <t>Peter Kaidin Frederiksen:</t>
        </r>
        <r>
          <rPr>
            <sz val="9"/>
            <color indexed="81"/>
            <rFont val="Tahoma"/>
            <charset val="1"/>
          </rPr>
          <t xml:space="preserve">
Vælg kontroltype fra liste.</t>
        </r>
      </text>
    </comment>
    <comment ref="I20" authorId="0" shapeId="0">
      <text>
        <r>
          <rPr>
            <b/>
            <sz val="9"/>
            <color indexed="81"/>
            <rFont val="Tahoma"/>
            <family val="2"/>
          </rPr>
          <t>Peter Kaidin Frederiksen:</t>
        </r>
        <r>
          <rPr>
            <sz val="9"/>
            <color indexed="81"/>
            <rFont val="Tahoma"/>
            <family val="2"/>
          </rPr>
          <t xml:space="preserve">
Vælg gruppe fra liste
</t>
        </r>
      </text>
    </comment>
    <comment ref="R25" authorId="0" shapeId="0">
      <text>
        <r>
          <rPr>
            <b/>
            <sz val="9"/>
            <color indexed="81"/>
            <rFont val="Tahoma"/>
            <family val="2"/>
          </rPr>
          <t>Udfyld fra rulleliste</t>
        </r>
        <r>
          <rPr>
            <sz val="9"/>
            <color indexed="81"/>
            <rFont val="Tahoma"/>
            <family val="2"/>
          </rPr>
          <t xml:space="preserve">
</t>
        </r>
      </text>
    </comment>
    <comment ref="R43" authorId="1" shapeId="0">
      <text>
        <r>
          <rPr>
            <sz val="10"/>
            <color indexed="81"/>
            <rFont val="Tahoma"/>
            <family val="2"/>
          </rPr>
          <t>Værdi sættes ud fra valgt gruppe
Hvis man vil afvige fra den generelle anbefaling, kan man indtaste en anden værdi her.
Vær dog opmærksom på at krav til L</t>
        </r>
        <r>
          <rPr>
            <vertAlign val="subscript"/>
            <sz val="10"/>
            <color indexed="81"/>
            <rFont val="Tahoma"/>
            <family val="2"/>
          </rPr>
          <t>min</t>
        </r>
        <r>
          <rPr>
            <sz val="10"/>
            <color indexed="81"/>
            <rFont val="Tahoma"/>
            <family val="2"/>
          </rPr>
          <t xml:space="preserve"> og kontrastforhold </t>
        </r>
        <r>
          <rPr>
            <b/>
            <sz val="10"/>
            <color indexed="81"/>
            <rFont val="Tahoma"/>
            <family val="2"/>
          </rPr>
          <t>skal</t>
        </r>
        <r>
          <rPr>
            <sz val="10"/>
            <color indexed="81"/>
            <rFont val="Tahoma"/>
            <family val="2"/>
          </rPr>
          <t xml:space="preserve"> overholdes.
</t>
        </r>
      </text>
    </comment>
    <comment ref="R45" authorId="0" shapeId="0">
      <text>
        <r>
          <rPr>
            <b/>
            <sz val="9"/>
            <color indexed="81"/>
            <rFont val="Tahoma"/>
            <family val="2"/>
          </rPr>
          <t>Peter Kaidin Frederiksen:</t>
        </r>
        <r>
          <rPr>
            <sz val="9"/>
            <color indexed="81"/>
            <rFont val="Tahoma"/>
            <family val="2"/>
          </rPr>
          <t xml:space="preserve">
Værdi sættes ud fra valgt gruppe.
</t>
        </r>
      </text>
    </comment>
  </commentList>
</comments>
</file>

<file path=xl/comments2.xml><?xml version="1.0" encoding="utf-8"?>
<comments xmlns="http://schemas.openxmlformats.org/spreadsheetml/2006/main">
  <authors>
    <author>Administrator</author>
  </authors>
  <commentList>
    <comment ref="F32" authorId="0" shapeId="0">
      <text>
        <r>
          <rPr>
            <b/>
            <sz val="8"/>
            <color indexed="81"/>
            <rFont val="Tahoma"/>
            <family val="2"/>
          </rPr>
          <t xml:space="preserve">Henter værdi fra 5.1
</t>
        </r>
      </text>
    </comment>
    <comment ref="AG32" authorId="0" shapeId="0">
      <text>
        <r>
          <rPr>
            <b/>
            <sz val="8"/>
            <color indexed="81"/>
            <rFont val="Tahoma"/>
            <family val="2"/>
          </rPr>
          <t xml:space="preserve">Henter værdi fra 5.1
</t>
        </r>
      </text>
    </comment>
    <comment ref="F33" authorId="0" shapeId="0">
      <text>
        <r>
          <rPr>
            <b/>
            <sz val="10"/>
            <color indexed="81"/>
            <rFont val="Tahoma"/>
            <family val="2"/>
          </rPr>
          <t>Beregnet ud fra følgende udtryk:</t>
        </r>
        <r>
          <rPr>
            <sz val="10"/>
            <color indexed="81"/>
            <rFont val="Tahoma"/>
            <family val="2"/>
          </rPr>
          <t xml:space="preserve">
L</t>
        </r>
        <r>
          <rPr>
            <vertAlign val="subscript"/>
            <sz val="10"/>
            <color indexed="81"/>
            <rFont val="Tahoma"/>
            <family val="2"/>
          </rPr>
          <t>amb</t>
        </r>
        <r>
          <rPr>
            <sz val="10"/>
            <color indexed="81"/>
            <rFont val="Tahoma"/>
            <family val="2"/>
          </rPr>
          <t>=R</t>
        </r>
        <r>
          <rPr>
            <vertAlign val="subscript"/>
            <sz val="10"/>
            <color indexed="81"/>
            <rFont val="Tahoma"/>
            <family val="2"/>
          </rPr>
          <t>d</t>
        </r>
        <r>
          <rPr>
            <sz val="10"/>
            <color indexed="81"/>
            <rFont val="Tahoma"/>
            <family val="2"/>
          </rPr>
          <t>*E
Hvor E er omgivelseslys i lux
R</t>
        </r>
        <r>
          <rPr>
            <vertAlign val="subscript"/>
            <sz val="10"/>
            <color indexed="81"/>
            <rFont val="Tahoma"/>
            <family val="2"/>
          </rPr>
          <t>d</t>
        </r>
        <r>
          <rPr>
            <sz val="10"/>
            <color indexed="81"/>
            <rFont val="Tahoma"/>
            <family val="2"/>
          </rPr>
          <t xml:space="preserve"> er Reflektionskoefficienten for den givene monitor som angivet på oplysningssiden</t>
        </r>
      </text>
    </comment>
    <comment ref="AG33" authorId="0" shapeId="0">
      <text>
        <r>
          <rPr>
            <b/>
            <sz val="10"/>
            <color indexed="81"/>
            <rFont val="Tahoma"/>
            <family val="2"/>
          </rPr>
          <t>Beregnet ud fra følgende udtryk:</t>
        </r>
        <r>
          <rPr>
            <sz val="10"/>
            <color indexed="81"/>
            <rFont val="Tahoma"/>
            <family val="2"/>
          </rPr>
          <t xml:space="preserve">
L</t>
        </r>
        <r>
          <rPr>
            <vertAlign val="subscript"/>
            <sz val="10"/>
            <color indexed="81"/>
            <rFont val="Tahoma"/>
            <family val="2"/>
          </rPr>
          <t>amb</t>
        </r>
        <r>
          <rPr>
            <sz val="10"/>
            <color indexed="81"/>
            <rFont val="Tahoma"/>
            <family val="2"/>
          </rPr>
          <t>=R</t>
        </r>
        <r>
          <rPr>
            <vertAlign val="subscript"/>
            <sz val="10"/>
            <color indexed="81"/>
            <rFont val="Tahoma"/>
            <family val="2"/>
          </rPr>
          <t>d</t>
        </r>
        <r>
          <rPr>
            <sz val="10"/>
            <color indexed="81"/>
            <rFont val="Tahoma"/>
            <family val="2"/>
          </rPr>
          <t>*E
Hvor E er omgivelseslys i lux
R</t>
        </r>
        <r>
          <rPr>
            <vertAlign val="subscript"/>
            <sz val="10"/>
            <color indexed="81"/>
            <rFont val="Tahoma"/>
            <family val="2"/>
          </rPr>
          <t>d</t>
        </r>
        <r>
          <rPr>
            <sz val="10"/>
            <color indexed="81"/>
            <rFont val="Tahoma"/>
            <family val="2"/>
          </rPr>
          <t xml:space="preserve"> er Reflektionskoefficienten for den givene monitor som angivet på oplysningssiden</t>
        </r>
      </text>
    </comment>
    <comment ref="AD47" authorId="0" shapeId="0">
      <text>
        <r>
          <rPr>
            <b/>
            <sz val="10"/>
            <color indexed="81"/>
            <rFont val="Tahoma"/>
            <family val="2"/>
          </rPr>
          <t>Skal være ≥ 1,5*L</t>
        </r>
        <r>
          <rPr>
            <b/>
            <vertAlign val="subscript"/>
            <sz val="10"/>
            <color indexed="81"/>
            <rFont val="Tahoma"/>
            <family val="2"/>
          </rPr>
          <t>amb</t>
        </r>
      </text>
    </comment>
    <comment ref="AD48" authorId="0" shapeId="0">
      <text>
        <r>
          <rPr>
            <b/>
            <sz val="8"/>
            <color indexed="81"/>
            <rFont val="Tahoma"/>
            <family val="2"/>
          </rPr>
          <t>Bemærk følgende anbefaling:
For Mammografi anbefales 450 cd/m</t>
        </r>
        <r>
          <rPr>
            <b/>
            <vertAlign val="superscript"/>
            <sz val="8"/>
            <color indexed="81"/>
            <rFont val="Tahoma"/>
            <family val="2"/>
          </rPr>
          <t>2</t>
        </r>
        <r>
          <rPr>
            <b/>
            <sz val="8"/>
            <color indexed="81"/>
            <rFont val="Tahoma"/>
            <family val="2"/>
          </rPr>
          <t xml:space="preserve">
For øvrig diagnostik anbefales 400 cd/m</t>
        </r>
        <r>
          <rPr>
            <b/>
            <vertAlign val="superscript"/>
            <sz val="8"/>
            <color indexed="81"/>
            <rFont val="Tahoma"/>
            <family val="2"/>
          </rPr>
          <t>2</t>
        </r>
      </text>
    </comment>
    <comment ref="C54" authorId="0" shapeId="0">
      <text>
        <r>
          <rPr>
            <b/>
            <sz val="10"/>
            <color indexed="81"/>
            <rFont val="Tahoma"/>
            <family val="2"/>
          </rPr>
          <t>Skal være ≥ 1,5*L</t>
        </r>
        <r>
          <rPr>
            <b/>
            <vertAlign val="subscript"/>
            <sz val="10"/>
            <color indexed="81"/>
            <rFont val="Tahoma"/>
            <family val="2"/>
          </rPr>
          <t>amb</t>
        </r>
      </text>
    </comment>
    <comment ref="C55" authorId="0" shapeId="0">
      <text>
        <r>
          <rPr>
            <b/>
            <sz val="8"/>
            <color indexed="81"/>
            <rFont val="Tahoma"/>
            <family val="2"/>
          </rPr>
          <t>Bemærk følgende anbefaling:
For Mammografi anbefales 450 cd/m</t>
        </r>
        <r>
          <rPr>
            <b/>
            <vertAlign val="superscript"/>
            <sz val="8"/>
            <color indexed="81"/>
            <rFont val="Tahoma"/>
            <family val="2"/>
          </rPr>
          <t>2</t>
        </r>
        <r>
          <rPr>
            <b/>
            <sz val="8"/>
            <color indexed="81"/>
            <rFont val="Tahoma"/>
            <family val="2"/>
          </rPr>
          <t xml:space="preserve">
For konventionel røntgen anbefales 400 cd/m</t>
        </r>
        <r>
          <rPr>
            <b/>
            <vertAlign val="superscript"/>
            <sz val="8"/>
            <color indexed="81"/>
            <rFont val="Tahoma"/>
            <family val="2"/>
          </rPr>
          <t>2</t>
        </r>
        <r>
          <rPr>
            <b/>
            <sz val="8"/>
            <color indexed="81"/>
            <rFont val="Tahoma"/>
            <family val="2"/>
          </rPr>
          <t xml:space="preserve">
For øvrig diagnostik anbefales 250 cd/m</t>
        </r>
        <r>
          <rPr>
            <b/>
            <vertAlign val="superscript"/>
            <sz val="8"/>
            <color indexed="81"/>
            <rFont val="Tahoma"/>
            <family val="2"/>
          </rPr>
          <t>2</t>
        </r>
      </text>
    </comment>
    <comment ref="AG80" authorId="0" shapeId="0">
      <text>
        <r>
          <rPr>
            <b/>
            <sz val="8"/>
            <color indexed="81"/>
            <rFont val="Tahoma"/>
            <family val="2"/>
          </rPr>
          <t xml:space="preserve">Henter værdi fra 5.1
</t>
        </r>
      </text>
    </comment>
    <comment ref="AG81" authorId="0" shapeId="0">
      <text>
        <r>
          <rPr>
            <b/>
            <sz val="10"/>
            <color indexed="81"/>
            <rFont val="Tahoma"/>
            <family val="2"/>
          </rPr>
          <t>Beregnet ud fra følgende udtryk:</t>
        </r>
        <r>
          <rPr>
            <sz val="10"/>
            <color indexed="81"/>
            <rFont val="Tahoma"/>
            <family val="2"/>
          </rPr>
          <t xml:space="preserve">
L</t>
        </r>
        <r>
          <rPr>
            <vertAlign val="subscript"/>
            <sz val="10"/>
            <color indexed="81"/>
            <rFont val="Tahoma"/>
            <family val="2"/>
          </rPr>
          <t>amb</t>
        </r>
        <r>
          <rPr>
            <sz val="10"/>
            <color indexed="81"/>
            <rFont val="Tahoma"/>
            <family val="2"/>
          </rPr>
          <t>=R</t>
        </r>
        <r>
          <rPr>
            <vertAlign val="subscript"/>
            <sz val="10"/>
            <color indexed="81"/>
            <rFont val="Tahoma"/>
            <family val="2"/>
          </rPr>
          <t>d</t>
        </r>
        <r>
          <rPr>
            <sz val="10"/>
            <color indexed="81"/>
            <rFont val="Tahoma"/>
            <family val="2"/>
          </rPr>
          <t>*E
Hvor E er omgivelseslys i lux
R</t>
        </r>
        <r>
          <rPr>
            <vertAlign val="subscript"/>
            <sz val="10"/>
            <color indexed="81"/>
            <rFont val="Tahoma"/>
            <family val="2"/>
          </rPr>
          <t>d</t>
        </r>
        <r>
          <rPr>
            <sz val="10"/>
            <color indexed="81"/>
            <rFont val="Tahoma"/>
            <family val="2"/>
          </rPr>
          <t xml:space="preserve"> er Reflektionskoefficienten for den givene monitor som angivet på oplysningssiden</t>
        </r>
      </text>
    </comment>
    <comment ref="F85" authorId="0" shapeId="0">
      <text>
        <r>
          <rPr>
            <b/>
            <sz val="8"/>
            <color indexed="81"/>
            <rFont val="Tahoma"/>
            <family val="2"/>
          </rPr>
          <t xml:space="preserve">Henter værdi fra 5.1
</t>
        </r>
      </text>
    </comment>
    <comment ref="F86" authorId="0" shapeId="0">
      <text>
        <r>
          <rPr>
            <b/>
            <sz val="10"/>
            <color indexed="81"/>
            <rFont val="Tahoma"/>
            <family val="2"/>
          </rPr>
          <t>Beregnet ud fra følgende udtryk:</t>
        </r>
        <r>
          <rPr>
            <sz val="10"/>
            <color indexed="81"/>
            <rFont val="Tahoma"/>
            <family val="2"/>
          </rPr>
          <t xml:space="preserve">
L</t>
        </r>
        <r>
          <rPr>
            <vertAlign val="subscript"/>
            <sz val="10"/>
            <color indexed="81"/>
            <rFont val="Tahoma"/>
            <family val="2"/>
          </rPr>
          <t>amb</t>
        </r>
        <r>
          <rPr>
            <sz val="10"/>
            <color indexed="81"/>
            <rFont val="Tahoma"/>
            <family val="2"/>
          </rPr>
          <t>=R</t>
        </r>
        <r>
          <rPr>
            <vertAlign val="subscript"/>
            <sz val="10"/>
            <color indexed="81"/>
            <rFont val="Tahoma"/>
            <family val="2"/>
          </rPr>
          <t>d</t>
        </r>
        <r>
          <rPr>
            <sz val="10"/>
            <color indexed="81"/>
            <rFont val="Tahoma"/>
            <family val="2"/>
          </rPr>
          <t>*E
Hvor E er omgivelseslys i lux
R</t>
        </r>
        <r>
          <rPr>
            <vertAlign val="subscript"/>
            <sz val="10"/>
            <color indexed="81"/>
            <rFont val="Tahoma"/>
            <family val="2"/>
          </rPr>
          <t>d</t>
        </r>
        <r>
          <rPr>
            <sz val="10"/>
            <color indexed="81"/>
            <rFont val="Tahoma"/>
            <family val="2"/>
          </rPr>
          <t xml:space="preserve"> er Reflektionskoefficienten for den givene monitor som angivet på oplysningssiden</t>
        </r>
      </text>
    </comment>
    <comment ref="AD95" authorId="0" shapeId="0">
      <text>
        <r>
          <rPr>
            <b/>
            <sz val="10"/>
            <color indexed="81"/>
            <rFont val="Tahoma"/>
            <family val="2"/>
          </rPr>
          <t>Skal være ≥ 1,5*L</t>
        </r>
        <r>
          <rPr>
            <b/>
            <vertAlign val="subscript"/>
            <sz val="10"/>
            <color indexed="81"/>
            <rFont val="Tahoma"/>
            <family val="2"/>
          </rPr>
          <t>amb</t>
        </r>
      </text>
    </comment>
    <comment ref="AD96" authorId="0" shapeId="0">
      <text>
        <r>
          <rPr>
            <b/>
            <sz val="8"/>
            <color indexed="81"/>
            <rFont val="Tahoma"/>
            <family val="2"/>
          </rPr>
          <t>Bemærk følgende anbefaling:
For Mammografi anbefales 450 cd/m</t>
        </r>
        <r>
          <rPr>
            <b/>
            <vertAlign val="superscript"/>
            <sz val="8"/>
            <color indexed="81"/>
            <rFont val="Tahoma"/>
            <family val="2"/>
          </rPr>
          <t>2</t>
        </r>
        <r>
          <rPr>
            <b/>
            <sz val="8"/>
            <color indexed="81"/>
            <rFont val="Tahoma"/>
            <family val="2"/>
          </rPr>
          <t xml:space="preserve">
For øvrig diagnostik anbefales 400 cd/m</t>
        </r>
        <r>
          <rPr>
            <b/>
            <vertAlign val="superscript"/>
            <sz val="8"/>
            <color indexed="81"/>
            <rFont val="Tahoma"/>
            <family val="2"/>
          </rPr>
          <t>2</t>
        </r>
      </text>
    </comment>
    <comment ref="C107" authorId="0" shapeId="0">
      <text>
        <r>
          <rPr>
            <b/>
            <sz val="10"/>
            <color indexed="81"/>
            <rFont val="Tahoma"/>
            <family val="2"/>
          </rPr>
          <t>Skal være ≥ 1,5*L</t>
        </r>
        <r>
          <rPr>
            <b/>
            <vertAlign val="subscript"/>
            <sz val="10"/>
            <color indexed="81"/>
            <rFont val="Tahoma"/>
            <family val="2"/>
          </rPr>
          <t>amb</t>
        </r>
      </text>
    </comment>
    <comment ref="C108" authorId="0" shapeId="0">
      <text>
        <r>
          <rPr>
            <b/>
            <sz val="8"/>
            <color indexed="81"/>
            <rFont val="Tahoma"/>
            <family val="2"/>
          </rPr>
          <t>Bemærk følgende genrelle anbefaling:
For Mammografi anbefales 450 cd/m</t>
        </r>
        <r>
          <rPr>
            <b/>
            <vertAlign val="superscript"/>
            <sz val="8"/>
            <color indexed="81"/>
            <rFont val="Tahoma"/>
            <family val="2"/>
          </rPr>
          <t>2</t>
        </r>
        <r>
          <rPr>
            <b/>
            <sz val="8"/>
            <color indexed="81"/>
            <rFont val="Tahoma"/>
            <family val="2"/>
          </rPr>
          <t xml:space="preserve">
For konventionel røntgen anbefales 400 cd/m</t>
        </r>
        <r>
          <rPr>
            <b/>
            <vertAlign val="superscript"/>
            <sz val="8"/>
            <color indexed="81"/>
            <rFont val="Tahoma"/>
            <family val="2"/>
          </rPr>
          <t>2</t>
        </r>
        <r>
          <rPr>
            <b/>
            <sz val="8"/>
            <color indexed="81"/>
            <rFont val="Tahoma"/>
            <family val="2"/>
          </rPr>
          <t xml:space="preserve">
For øvrig diagnostik anbefales 250 cd/m</t>
        </r>
        <r>
          <rPr>
            <b/>
            <vertAlign val="superscript"/>
            <sz val="8"/>
            <color indexed="81"/>
            <rFont val="Tahoma"/>
            <family val="2"/>
          </rPr>
          <t>2</t>
        </r>
      </text>
    </comment>
  </commentList>
</comments>
</file>

<file path=xl/sharedStrings.xml><?xml version="1.0" encoding="utf-8"?>
<sst xmlns="http://schemas.openxmlformats.org/spreadsheetml/2006/main" count="663" uniqueCount="278">
  <si>
    <t>DICOM 3.14 standard:</t>
  </si>
  <si>
    <t>Luminance</t>
  </si>
  <si>
    <t>JND</t>
  </si>
  <si>
    <t>dL/L</t>
  </si>
  <si>
    <t>p-value</t>
  </si>
  <si>
    <t>L</t>
  </si>
  <si>
    <t>j(L)</t>
  </si>
  <si>
    <t>a:</t>
  </si>
  <si>
    <t>b:</t>
  </si>
  <si>
    <t>dL/L for JND</t>
  </si>
  <si>
    <t>linear relation between p-value and JND:</t>
  </si>
  <si>
    <t>average</t>
  </si>
  <si>
    <t>TG18-LN</t>
  </si>
  <si>
    <t>GSDF coefficients:</t>
  </si>
  <si>
    <t>Inverse GSDF coefficients:</t>
  </si>
  <si>
    <t>a_</t>
  </si>
  <si>
    <t>b_</t>
  </si>
  <si>
    <t>c_</t>
  </si>
  <si>
    <t>d_</t>
  </si>
  <si>
    <t>e_</t>
  </si>
  <si>
    <t>f_</t>
  </si>
  <si>
    <t>g_</t>
  </si>
  <si>
    <t>h_</t>
  </si>
  <si>
    <t>k_</t>
  </si>
  <si>
    <t>m_</t>
  </si>
  <si>
    <t>iA_</t>
  </si>
  <si>
    <t>iB_</t>
  </si>
  <si>
    <t>iC_</t>
  </si>
  <si>
    <t>iD_</t>
  </si>
  <si>
    <t>iE_</t>
  </si>
  <si>
    <t>iF_</t>
  </si>
  <si>
    <t>iG_</t>
  </si>
  <si>
    <t>iH_</t>
  </si>
  <si>
    <t>iI_</t>
  </si>
  <si>
    <r>
      <t>L</t>
    </r>
    <r>
      <rPr>
        <b/>
        <vertAlign val="subscript"/>
        <sz val="9"/>
        <rFont val="Arial"/>
        <family val="2"/>
      </rPr>
      <t>min</t>
    </r>
  </si>
  <si>
    <r>
      <t>L</t>
    </r>
    <r>
      <rPr>
        <b/>
        <vertAlign val="subscript"/>
        <sz val="9"/>
        <rFont val="Arial"/>
        <family val="2"/>
      </rPr>
      <t>max</t>
    </r>
  </si>
  <si>
    <r>
      <t>L</t>
    </r>
    <r>
      <rPr>
        <b/>
        <vertAlign val="subscript"/>
        <sz val="9"/>
        <rFont val="Arial"/>
        <family val="2"/>
      </rPr>
      <t>min</t>
    </r>
    <r>
      <rPr>
        <b/>
        <sz val="9"/>
        <rFont val="Arial"/>
        <family val="2"/>
      </rPr>
      <t>'</t>
    </r>
  </si>
  <si>
    <r>
      <t>L</t>
    </r>
    <r>
      <rPr>
        <b/>
        <vertAlign val="subscript"/>
        <sz val="9"/>
        <rFont val="Arial"/>
        <family val="2"/>
      </rPr>
      <t>max</t>
    </r>
    <r>
      <rPr>
        <b/>
        <sz val="9"/>
        <rFont val="Arial"/>
        <family val="2"/>
      </rPr>
      <t>'</t>
    </r>
  </si>
  <si>
    <t>Test pattern</t>
  </si>
  <si>
    <t>dL/L for</t>
  </si>
  <si>
    <t>DICOM</t>
  </si>
  <si>
    <t>TG18-QC</t>
  </si>
  <si>
    <t>AAPM TG18 12-bit test pattern p-values:</t>
  </si>
  <si>
    <t>SMPTE test pattern p-values:</t>
  </si>
  <si>
    <t>SMPTE</t>
  </si>
  <si>
    <t>Evaluering:</t>
  </si>
  <si>
    <t>Homogenitet</t>
  </si>
  <si>
    <t>Venstre monitor</t>
  </si>
  <si>
    <t>Højre monitor</t>
  </si>
  <si>
    <t>Venstre monitor:</t>
  </si>
  <si>
    <t>Sygehus</t>
  </si>
  <si>
    <t>Fabrikat</t>
  </si>
  <si>
    <t>Højre monitor:</t>
  </si>
  <si>
    <t>Artefakter</t>
  </si>
  <si>
    <t>Pixelfejl</t>
  </si>
  <si>
    <t>Lysende pixels</t>
  </si>
  <si>
    <t>Mørke pixels</t>
  </si>
  <si>
    <t>Øvrige artefakter</t>
  </si>
  <si>
    <t>Model</t>
  </si>
  <si>
    <t>Andre pixelfejl</t>
  </si>
  <si>
    <t>Brug testbillede TG18-UN10 og TG18-UN80</t>
  </si>
  <si>
    <t>Gruppe</t>
  </si>
  <si>
    <t>Afvigelse:</t>
  </si>
  <si>
    <t>Serie nr.</t>
  </si>
  <si>
    <t>Venstre Monitor</t>
  </si>
  <si>
    <t>Højre Monitor</t>
  </si>
  <si>
    <t>Måleudstyr</t>
  </si>
  <si>
    <t>Dato:</t>
  </si>
  <si>
    <t>Sygehus:</t>
  </si>
  <si>
    <t>Afdeling:</t>
  </si>
  <si>
    <t>Placering:</t>
  </si>
  <si>
    <t>Arbejdsstation:</t>
  </si>
  <si>
    <t>Resultat</t>
  </si>
  <si>
    <t>Begge monitorer:</t>
  </si>
  <si>
    <t>Tol:</t>
  </si>
  <si>
    <t>Målt</t>
  </si>
  <si>
    <t>Tol</t>
  </si>
  <si>
    <t>Målt:</t>
  </si>
  <si>
    <t>Kontrolleret af:</t>
  </si>
  <si>
    <t>+10%</t>
  </si>
  <si>
    <t>-10%</t>
  </si>
  <si>
    <t>Forskel mellem monitorer</t>
  </si>
  <si>
    <t>Dicom GSDF kompatibilitet</t>
  </si>
  <si>
    <t>Diagnostiske monitorer</t>
  </si>
  <si>
    <t>Testbillede: TG18-UNL80</t>
  </si>
  <si>
    <t>Øverst venstre</t>
  </si>
  <si>
    <t>Øverst højre</t>
  </si>
  <si>
    <t>Centrum</t>
  </si>
  <si>
    <t>Nederst venstre</t>
  </si>
  <si>
    <t>Nederst højre</t>
  </si>
  <si>
    <t>Vis SMPTE-133 test billede på monitoren.</t>
  </si>
  <si>
    <r>
      <t>R</t>
    </r>
    <r>
      <rPr>
        <b/>
        <i/>
        <vertAlign val="subscript"/>
        <sz val="11"/>
        <color theme="1"/>
        <rFont val="Calibri"/>
        <family val="2"/>
        <scheme val="minor"/>
      </rPr>
      <t>d</t>
    </r>
  </si>
  <si>
    <t>http://deckard.mc.duke.edu/~samei/tg18#_DOWNLOAD_THE_TG18</t>
  </si>
  <si>
    <r>
      <rPr>
        <b/>
        <i/>
        <sz val="11"/>
        <color theme="1"/>
        <rFont val="Calibri"/>
        <family val="2"/>
        <scheme val="minor"/>
      </rPr>
      <t>E</t>
    </r>
    <r>
      <rPr>
        <b/>
        <sz val="11"/>
        <color theme="1"/>
        <rFont val="Calibri"/>
        <family val="2"/>
        <scheme val="minor"/>
      </rPr>
      <t xml:space="preserve"> [lx]</t>
    </r>
  </si>
  <si>
    <r>
      <t>L</t>
    </r>
    <r>
      <rPr>
        <b/>
        <vertAlign val="subscript"/>
        <sz val="11"/>
        <color theme="1"/>
        <rFont val="Calibri"/>
        <family val="2"/>
        <scheme val="minor"/>
      </rPr>
      <t xml:space="preserve">min </t>
    </r>
    <r>
      <rPr>
        <b/>
        <sz val="11"/>
        <color theme="1"/>
        <rFont val="Calibri"/>
        <family val="2"/>
        <scheme val="minor"/>
      </rPr>
      <t>[cd/m</t>
    </r>
    <r>
      <rPr>
        <b/>
        <vertAlign val="superscript"/>
        <sz val="11"/>
        <color theme="1"/>
        <rFont val="Calibri"/>
        <family val="2"/>
        <scheme val="minor"/>
      </rPr>
      <t>2</t>
    </r>
    <r>
      <rPr>
        <b/>
        <sz val="11"/>
        <color theme="1"/>
        <rFont val="Calibri"/>
        <family val="2"/>
        <scheme val="minor"/>
      </rPr>
      <t>]</t>
    </r>
  </si>
  <si>
    <r>
      <rPr>
        <b/>
        <i/>
        <sz val="11"/>
        <color theme="1"/>
        <rFont val="Calibri"/>
        <family val="2"/>
        <scheme val="minor"/>
      </rPr>
      <t>L</t>
    </r>
    <r>
      <rPr>
        <b/>
        <vertAlign val="subscript"/>
        <sz val="11"/>
        <color theme="1"/>
        <rFont val="Calibri"/>
        <family val="2"/>
        <scheme val="minor"/>
      </rPr>
      <t xml:space="preserve">maks </t>
    </r>
    <r>
      <rPr>
        <b/>
        <sz val="11"/>
        <color theme="1"/>
        <rFont val="Calibri"/>
        <family val="2"/>
        <scheme val="minor"/>
      </rPr>
      <t>[cd/m</t>
    </r>
    <r>
      <rPr>
        <b/>
        <vertAlign val="superscript"/>
        <sz val="11"/>
        <color theme="1"/>
        <rFont val="Calibri"/>
        <family val="2"/>
        <scheme val="minor"/>
      </rPr>
      <t>2</t>
    </r>
    <r>
      <rPr>
        <b/>
        <sz val="11"/>
        <color theme="1"/>
        <rFont val="Calibri"/>
        <family val="2"/>
        <scheme val="minor"/>
      </rPr>
      <t>]</t>
    </r>
  </si>
  <si>
    <t>Dicom GSDF-kompatibilitet</t>
  </si>
  <si>
    <r>
      <rPr>
        <i/>
        <sz val="10"/>
        <rFont val="Arial"/>
        <family val="2"/>
      </rPr>
      <t>L</t>
    </r>
    <r>
      <rPr>
        <vertAlign val="subscript"/>
        <sz val="10"/>
        <rFont val="Arial"/>
        <family val="2"/>
      </rPr>
      <t>min</t>
    </r>
  </si>
  <si>
    <t>Kontrastforholdsberegner</t>
  </si>
  <si>
    <t>Link til prøvebilleder:</t>
  </si>
  <si>
    <t>Visuel test</t>
  </si>
  <si>
    <t>OK</t>
  </si>
  <si>
    <t>Luminans. Værdien for hvid uden bidrag fra omgivelseslys</t>
  </si>
  <si>
    <t>Luminans. Værdien for sort uden bidrag fra omgivelseslys</t>
  </si>
  <si>
    <t>Tolerancer fra 5.2.5</t>
  </si>
  <si>
    <r>
      <t xml:space="preserve">1,5 x </t>
    </r>
    <r>
      <rPr>
        <b/>
        <i/>
        <sz val="11"/>
        <color theme="1"/>
        <rFont val="Calibri"/>
        <family val="2"/>
        <scheme val="minor"/>
      </rPr>
      <t>L</t>
    </r>
    <r>
      <rPr>
        <b/>
        <vertAlign val="subscript"/>
        <sz val="11"/>
        <color theme="1"/>
        <rFont val="Calibri"/>
        <family val="2"/>
        <scheme val="minor"/>
      </rPr>
      <t xml:space="preserve">amb </t>
    </r>
    <r>
      <rPr>
        <b/>
        <sz val="11"/>
        <color theme="1"/>
        <rFont val="Calibri"/>
        <family val="2"/>
        <scheme val="minor"/>
      </rPr>
      <t>[cd/m</t>
    </r>
    <r>
      <rPr>
        <b/>
        <vertAlign val="superscript"/>
        <sz val="11"/>
        <color theme="1"/>
        <rFont val="Calibri"/>
        <family val="2"/>
        <scheme val="minor"/>
      </rPr>
      <t>2</t>
    </r>
    <r>
      <rPr>
        <b/>
        <sz val="11"/>
        <color theme="1"/>
        <rFont val="Calibri"/>
        <family val="2"/>
        <scheme val="minor"/>
      </rPr>
      <t xml:space="preserve">]
</t>
    </r>
    <r>
      <rPr>
        <b/>
        <i/>
        <sz val="11"/>
        <color theme="1"/>
        <rFont val="Calibri"/>
        <family val="2"/>
        <scheme val="minor"/>
      </rPr>
      <t>L</t>
    </r>
    <r>
      <rPr>
        <b/>
        <vertAlign val="subscript"/>
        <sz val="11"/>
        <color theme="1"/>
        <rFont val="Calibri"/>
        <family val="2"/>
        <scheme val="minor"/>
      </rPr>
      <t>min</t>
    </r>
    <r>
      <rPr>
        <b/>
        <sz val="11"/>
        <color theme="1"/>
        <rFont val="Calibri"/>
        <family val="2"/>
        <scheme val="minor"/>
      </rPr>
      <t xml:space="preserve"> ≥ 1,5 x</t>
    </r>
    <r>
      <rPr>
        <b/>
        <i/>
        <sz val="11"/>
        <color theme="1"/>
        <rFont val="Calibri"/>
        <family val="2"/>
        <scheme val="minor"/>
      </rPr>
      <t xml:space="preserve"> L</t>
    </r>
    <r>
      <rPr>
        <b/>
        <vertAlign val="subscript"/>
        <sz val="11"/>
        <color theme="1"/>
        <rFont val="Calibri"/>
        <family val="2"/>
        <scheme val="minor"/>
      </rPr>
      <t xml:space="preserve">amb </t>
    </r>
  </si>
  <si>
    <r>
      <t xml:space="preserve">Kontrastforhold
</t>
    </r>
    <r>
      <rPr>
        <b/>
        <i/>
        <sz val="11"/>
        <color theme="1"/>
        <rFont val="Calibri"/>
        <family val="2"/>
        <scheme val="minor"/>
      </rPr>
      <t>L</t>
    </r>
    <r>
      <rPr>
        <b/>
        <sz val="11"/>
        <color theme="1"/>
        <rFont val="Calibri"/>
        <family val="2"/>
        <scheme val="minor"/>
      </rPr>
      <t>’</t>
    </r>
    <r>
      <rPr>
        <b/>
        <vertAlign val="subscript"/>
        <sz val="11"/>
        <color theme="1"/>
        <rFont val="Calibri"/>
        <family val="2"/>
        <scheme val="minor"/>
      </rPr>
      <t>maks</t>
    </r>
    <r>
      <rPr>
        <b/>
        <sz val="11"/>
        <color theme="1"/>
        <rFont val="Calibri"/>
        <family val="2"/>
        <scheme val="minor"/>
      </rPr>
      <t>/</t>
    </r>
    <r>
      <rPr>
        <b/>
        <i/>
        <sz val="11"/>
        <color theme="1"/>
        <rFont val="Calibri"/>
        <family val="2"/>
        <scheme val="minor"/>
      </rPr>
      <t>L</t>
    </r>
    <r>
      <rPr>
        <b/>
        <sz val="11"/>
        <color theme="1"/>
        <rFont val="Calibri"/>
        <family val="2"/>
        <scheme val="minor"/>
      </rPr>
      <t>’</t>
    </r>
    <r>
      <rPr>
        <b/>
        <vertAlign val="subscript"/>
        <sz val="11"/>
        <color theme="1"/>
        <rFont val="Calibri"/>
        <family val="2"/>
        <scheme val="minor"/>
      </rPr>
      <t>min</t>
    </r>
    <r>
      <rPr>
        <b/>
        <sz val="11"/>
        <color theme="1"/>
        <rFont val="Calibri"/>
        <family val="2"/>
        <scheme val="minor"/>
      </rPr>
      <t xml:space="preserve"> ≥ 250 </t>
    </r>
  </si>
  <si>
    <t>Omgivelseslysets refleksion på en slukket skærm</t>
  </si>
  <si>
    <r>
      <rPr>
        <i/>
        <sz val="10"/>
        <rFont val="Arial"/>
        <family val="2"/>
      </rPr>
      <t>L</t>
    </r>
    <r>
      <rPr>
        <sz val="10"/>
        <rFont val="Arial"/>
        <family val="2"/>
      </rPr>
      <t xml:space="preserve">' </t>
    </r>
  </si>
  <si>
    <r>
      <t>R</t>
    </r>
    <r>
      <rPr>
        <i/>
        <vertAlign val="subscript"/>
        <sz val="11"/>
        <color theme="1"/>
        <rFont val="Calibri"/>
        <family val="2"/>
        <scheme val="minor"/>
      </rPr>
      <t>d</t>
    </r>
  </si>
  <si>
    <r>
      <t>L</t>
    </r>
    <r>
      <rPr>
        <vertAlign val="subscript"/>
        <sz val="11"/>
        <color theme="1"/>
        <rFont val="Calibri"/>
        <family val="2"/>
        <scheme val="minor"/>
      </rPr>
      <t xml:space="preserve">min </t>
    </r>
    <r>
      <rPr>
        <b/>
        <sz val="11"/>
        <color theme="1"/>
        <rFont val="Calibri"/>
        <family val="2"/>
        <scheme val="minor"/>
      </rPr>
      <t/>
    </r>
  </si>
  <si>
    <r>
      <rPr>
        <i/>
        <sz val="11"/>
        <color theme="1"/>
        <rFont val="Calibri"/>
        <family val="2"/>
        <scheme val="minor"/>
      </rPr>
      <t>L</t>
    </r>
    <r>
      <rPr>
        <vertAlign val="subscript"/>
        <sz val="11"/>
        <color theme="1"/>
        <rFont val="Calibri"/>
        <family val="2"/>
        <scheme val="minor"/>
      </rPr>
      <t xml:space="preserve">maks </t>
    </r>
    <r>
      <rPr>
        <b/>
        <sz val="11"/>
        <color theme="1"/>
        <rFont val="Calibri"/>
        <family val="2"/>
        <scheme val="minor"/>
      </rPr>
      <t/>
    </r>
  </si>
  <si>
    <r>
      <t>L</t>
    </r>
    <r>
      <rPr>
        <vertAlign val="subscript"/>
        <sz val="11"/>
        <color theme="1"/>
        <rFont val="Calibri"/>
        <family val="2"/>
        <scheme val="minor"/>
      </rPr>
      <t>amb</t>
    </r>
  </si>
  <si>
    <t>Refleksionskoefficient</t>
  </si>
  <si>
    <t xml:space="preserve">Med omgivelseslys </t>
  </si>
  <si>
    <t>Belysningsstyrke. Indfaldenst lys på monitoren</t>
  </si>
  <si>
    <t>E</t>
  </si>
  <si>
    <r>
      <t>L</t>
    </r>
    <r>
      <rPr>
        <b/>
        <vertAlign val="subscript"/>
        <sz val="11"/>
        <color theme="1"/>
        <rFont val="Calibri"/>
        <family val="2"/>
        <scheme val="minor"/>
      </rPr>
      <t xml:space="preserve">amb </t>
    </r>
    <r>
      <rPr>
        <b/>
        <sz val="11"/>
        <color theme="1"/>
        <rFont val="Calibri"/>
        <family val="2"/>
        <scheme val="minor"/>
      </rPr>
      <t>[cd/m</t>
    </r>
    <r>
      <rPr>
        <b/>
        <vertAlign val="superscript"/>
        <sz val="11"/>
        <color theme="1"/>
        <rFont val="Calibri"/>
        <family val="2"/>
        <scheme val="minor"/>
      </rPr>
      <t>2</t>
    </r>
    <r>
      <rPr>
        <b/>
        <sz val="11"/>
        <color theme="1"/>
        <rFont val="Calibri"/>
        <family val="2"/>
        <scheme val="minor"/>
      </rPr>
      <t xml:space="preserve">] 
= </t>
    </r>
    <r>
      <rPr>
        <b/>
        <i/>
        <sz val="11"/>
        <color theme="1"/>
        <rFont val="Calibri"/>
        <family val="2"/>
        <scheme val="minor"/>
      </rPr>
      <t>R</t>
    </r>
    <r>
      <rPr>
        <b/>
        <vertAlign val="subscript"/>
        <sz val="11"/>
        <color theme="1"/>
        <rFont val="Calibri"/>
        <family val="2"/>
        <scheme val="minor"/>
      </rPr>
      <t>d</t>
    </r>
    <r>
      <rPr>
        <b/>
        <sz val="11"/>
        <color theme="1"/>
        <rFont val="Calibri"/>
        <family val="2"/>
        <scheme val="minor"/>
      </rPr>
      <t xml:space="preserve"> x </t>
    </r>
    <r>
      <rPr>
        <b/>
        <i/>
        <sz val="11"/>
        <color theme="1"/>
        <rFont val="Calibri"/>
        <family val="2"/>
        <scheme val="minor"/>
      </rPr>
      <t>E</t>
    </r>
  </si>
  <si>
    <t>Evt. bemærkning:</t>
  </si>
  <si>
    <t>Vælg vurdering</t>
  </si>
  <si>
    <t>Ikke testet</t>
  </si>
  <si>
    <t>Opløsning (Mp)</t>
  </si>
  <si>
    <t>Evaluering opfyldt</t>
  </si>
  <si>
    <t>Belysningsstyrke  (lx)</t>
  </si>
  <si>
    <t>Gruppe:</t>
  </si>
  <si>
    <t>Testbillede</t>
  </si>
  <si>
    <t>Logo</t>
  </si>
  <si>
    <t>RegionXXXX</t>
  </si>
  <si>
    <t>Enhed</t>
  </si>
  <si>
    <t>Udført d.:</t>
  </si>
  <si>
    <t>Version:</t>
  </si>
  <si>
    <t>Revideret den:</t>
  </si>
  <si>
    <t>Oplysningsside</t>
  </si>
  <si>
    <t>Kontroltype:</t>
  </si>
  <si>
    <t>Farvekoder layout</t>
  </si>
  <si>
    <t>Data-indtastningsfelter</t>
  </si>
  <si>
    <t>Farvekoder tolerancer</t>
  </si>
  <si>
    <t>Tolerance overholdt</t>
  </si>
  <si>
    <t>Uden for tolerance</t>
  </si>
  <si>
    <t>1.0</t>
  </si>
  <si>
    <t>Entydigt ID-nummer:</t>
  </si>
  <si>
    <t>Fabrikat:</t>
  </si>
  <si>
    <t>Model:</t>
  </si>
  <si>
    <t>Serienummer:</t>
  </si>
  <si>
    <t>Opløsning (Mp):</t>
  </si>
  <si>
    <t>Indstillet kalibreret lystæthed:</t>
  </si>
  <si>
    <t>Bitdybde monitor:</t>
  </si>
  <si>
    <t>Bitdybde grafikkort:</t>
  </si>
  <si>
    <t>Indbygget LUT:</t>
  </si>
  <si>
    <t>Interface:</t>
  </si>
  <si>
    <t>Kontrol udført af:</t>
  </si>
  <si>
    <t>Telefonnummer:</t>
  </si>
  <si>
    <t>Emailadresse:</t>
  </si>
  <si>
    <t>Beregningsfelter (låste)</t>
  </si>
  <si>
    <t>Oplysningsfelter (valgfrie)</t>
  </si>
  <si>
    <t>Oplysningsfelter (obligatoriske)</t>
  </si>
  <si>
    <t>Reflektionskoefficient:</t>
  </si>
  <si>
    <t>≥ 1,5 x Lamb</t>
  </si>
  <si>
    <t>Tolerancer (til beregningsbrug)</t>
  </si>
  <si>
    <t>Udført af:</t>
  </si>
  <si>
    <t>Målt belysningsstyrke (lx):</t>
  </si>
  <si>
    <t>Tolerance (lx):</t>
  </si>
  <si>
    <t>TG18</t>
  </si>
  <si>
    <t>SMPTE-133</t>
  </si>
  <si>
    <t>Tolerance</t>
  </si>
  <si>
    <t>p-værdi</t>
  </si>
  <si>
    <t>Inkl. Omgiv.</t>
  </si>
  <si>
    <t>Ekskl. Omgiv.</t>
  </si>
  <si>
    <t>middel</t>
  </si>
  <si>
    <t>Absolut afv.</t>
  </si>
  <si>
    <t>5.3 Maks afvigelse GSDF</t>
  </si>
  <si>
    <t>5.4 Afvigelse mellem højre og venstre monitor:</t>
  </si>
  <si>
    <r>
      <t>L</t>
    </r>
    <r>
      <rPr>
        <b/>
        <vertAlign val="subscript"/>
        <sz val="9"/>
        <rFont val="Arial"/>
        <family val="2"/>
      </rPr>
      <t>maks</t>
    </r>
  </si>
  <si>
    <r>
      <t>L</t>
    </r>
    <r>
      <rPr>
        <b/>
        <vertAlign val="subscript"/>
        <sz val="9"/>
        <rFont val="Arial"/>
        <family val="2"/>
      </rPr>
      <t>maks</t>
    </r>
    <r>
      <rPr>
        <b/>
        <sz val="9"/>
        <rFont val="Arial"/>
        <family val="2"/>
      </rPr>
      <t>'</t>
    </r>
  </si>
  <si>
    <t>Ingen indflydelse på diagnostik</t>
  </si>
  <si>
    <r>
      <t>Forskel på L</t>
    </r>
    <r>
      <rPr>
        <vertAlign val="subscript"/>
        <sz val="10"/>
        <rFont val="Arial"/>
        <family val="2"/>
      </rPr>
      <t>maks</t>
    </r>
    <r>
      <rPr>
        <sz val="10"/>
        <rFont val="Arial"/>
        <family val="2"/>
      </rPr>
      <t xml:space="preserve"> (center)</t>
    </r>
  </si>
  <si>
    <t>Belysningsstyrke, E (lx):</t>
  </si>
  <si>
    <r>
      <t>Omgivelseslysets refleksion, L</t>
    </r>
    <r>
      <rPr>
        <b/>
        <vertAlign val="subscript"/>
        <sz val="9"/>
        <rFont val="Arial"/>
        <family val="2"/>
      </rPr>
      <t>amb</t>
    </r>
    <r>
      <rPr>
        <b/>
        <sz val="9"/>
        <rFont val="Arial"/>
        <family val="2"/>
      </rPr>
      <t xml:space="preserve"> (cd/m²)</t>
    </r>
  </si>
  <si>
    <t>5.2 Kontrastforhold m. omg.</t>
  </si>
  <si>
    <t>Kontrastforhold m. omg.</t>
  </si>
  <si>
    <t>Kontrastforhold u. omg.</t>
  </si>
  <si>
    <t>Anbefalet</t>
  </si>
  <si>
    <r>
      <t>Kontrastforhold L</t>
    </r>
    <r>
      <rPr>
        <vertAlign val="subscript"/>
        <sz val="10"/>
        <rFont val="Arial"/>
        <family val="2"/>
      </rPr>
      <t>min</t>
    </r>
    <r>
      <rPr>
        <sz val="10"/>
        <rFont val="Arial"/>
        <family val="2"/>
      </rPr>
      <t>/L</t>
    </r>
    <r>
      <rPr>
        <vertAlign val="subscript"/>
        <sz val="10"/>
        <rFont val="Arial"/>
        <family val="2"/>
      </rPr>
      <t>amb</t>
    </r>
  </si>
  <si>
    <r>
      <t>Kontrastforhold L'</t>
    </r>
    <r>
      <rPr>
        <vertAlign val="subscript"/>
        <sz val="10"/>
        <rFont val="Arial"/>
        <family val="2"/>
      </rPr>
      <t>maks</t>
    </r>
    <r>
      <rPr>
        <sz val="10"/>
        <rFont val="Arial"/>
        <family val="2"/>
      </rPr>
      <t>/L'</t>
    </r>
    <r>
      <rPr>
        <vertAlign val="subscript"/>
        <sz val="10"/>
        <rFont val="Arial"/>
        <family val="2"/>
      </rPr>
      <t>min</t>
    </r>
  </si>
  <si>
    <r>
      <t>Belysningsstyrke, L</t>
    </r>
    <r>
      <rPr>
        <vertAlign val="subscript"/>
        <sz val="10"/>
        <rFont val="Arial"/>
        <family val="2"/>
      </rPr>
      <t>amb</t>
    </r>
    <r>
      <rPr>
        <sz val="10"/>
        <rFont val="Arial"/>
      </rPr>
      <t xml:space="preserve"> (lx)</t>
    </r>
  </si>
  <si>
    <t>Evt. bemærkning</t>
  </si>
  <si>
    <t>Det giver et forslag til hvordan de enkelte kontroller kan noteres.</t>
  </si>
  <si>
    <t>Forslag til rettelser, modtages gerne på sis@sis.dk</t>
  </si>
  <si>
    <t>Data fra oplysningssiden går igen på alle faner.</t>
  </si>
  <si>
    <t>Der er to forskellige rapportark med en samlet oversigt over resultatet, alt efter om man har målt GSDF ud fra TG-18- eller SMPTE-billederne.</t>
  </si>
  <si>
    <t xml:space="preserve">Fanen 'Beregning af kontrastforhold' er ment som en hjælp til på en intuitiv måde at overskue hvordan de tre indgående variable  har indflydelse på de to kontrastforhold i 5.2. </t>
  </si>
  <si>
    <t>Fanen Link til prøvebilleder' give et på udgivelsesdagen aktuelt link til AAPMs TG-18-prøvebilleder.</t>
  </si>
  <si>
    <t xml:space="preserve">Dette kan give svar på, om man kan nøjes med mindre end den anbefalede lystæthed i tabel 2 under eller andre belysningsstyrker edn de anbefalede i 5.1. </t>
  </si>
  <si>
    <t>Belysningsstyrken i tabellen er forhåndsintastet fra 1 til 100 lx med interval af 1 lx.</t>
  </si>
  <si>
    <t>Test af monitor-overensstemmelse med DICOM 3.14 GSDF</t>
  </si>
  <si>
    <t>Det står en frit at ændre arket efter forgodtbefindende. F.eks. Udvide skemaet til at gælde for 4 skærme sat sammen.</t>
  </si>
  <si>
    <t xml:space="preserve">Kontroller følgende: </t>
  </si>
  <si>
    <t>Serienummer</t>
  </si>
  <si>
    <t>Måleudstyr, type</t>
  </si>
  <si>
    <t>Måleudstyr 2, type</t>
  </si>
  <si>
    <t>Der er gjort plads til at indtaste ét ekstra valgfrit måleinstrument.</t>
  </si>
  <si>
    <r>
      <t>Lystæthed (cd/m</t>
    </r>
    <r>
      <rPr>
        <b/>
        <vertAlign val="superscript"/>
        <sz val="9"/>
        <rFont val="Arial"/>
        <family val="2"/>
      </rPr>
      <t>2</t>
    </r>
    <r>
      <rPr>
        <b/>
        <sz val="9"/>
        <rFont val="Arial"/>
        <family val="2"/>
      </rPr>
      <t>)</t>
    </r>
  </si>
  <si>
    <t>Gentag for næste monitor, hvis der er en sådan (række 76 og frem).</t>
  </si>
  <si>
    <t>Bemærkning</t>
  </si>
  <si>
    <t>Oplyst af producenten</t>
  </si>
  <si>
    <t>Kvalificeret bud</t>
  </si>
  <si>
    <t>Venstre:</t>
  </si>
  <si>
    <t>Højre:</t>
  </si>
  <si>
    <t>Kontrastforhold udledes fra kontrastresponskurven.</t>
  </si>
  <si>
    <t>Brug de enkelte TG18-LN billeder og mål lystætheden i centret af hver felt.</t>
  </si>
  <si>
    <t xml:space="preserve">Metode 1 (6.2.1 teleskopisk): </t>
  </si>
  <si>
    <t>Alternativt måles den direkte med lysmåleren på den slukkede skærm og indtastes i celle F33.</t>
  </si>
  <si>
    <t xml:space="preserve">Herefter udfyldes kolonne D. </t>
  </si>
  <si>
    <t>Metode 2 (6.2.2 near-range) eller 3 (6.2.3 integreret):</t>
  </si>
  <si>
    <t>Herefter udfyldes kolonne C.</t>
  </si>
  <si>
    <r>
      <t>5.1 Belysningsstyrke, L</t>
    </r>
    <r>
      <rPr>
        <vertAlign val="subscript"/>
        <sz val="10"/>
        <rFont val="Arial"/>
        <family val="2"/>
      </rPr>
      <t>amb</t>
    </r>
    <r>
      <rPr>
        <sz val="10"/>
        <rFont val="Arial"/>
      </rPr>
      <t xml:space="preserve"> (lx)</t>
    </r>
  </si>
  <si>
    <r>
      <t>5.2 Kontrastforhold L</t>
    </r>
    <r>
      <rPr>
        <vertAlign val="subscript"/>
        <sz val="10"/>
        <rFont val="Arial"/>
        <family val="2"/>
      </rPr>
      <t>min</t>
    </r>
    <r>
      <rPr>
        <sz val="10"/>
        <rFont val="Arial"/>
        <family val="2"/>
      </rPr>
      <t>/L</t>
    </r>
    <r>
      <rPr>
        <vertAlign val="subscript"/>
        <sz val="10"/>
        <rFont val="Arial"/>
        <family val="2"/>
      </rPr>
      <t>amb</t>
    </r>
  </si>
  <si>
    <r>
      <t>5.2 Kontrastforhold L'</t>
    </r>
    <r>
      <rPr>
        <vertAlign val="subscript"/>
        <sz val="10"/>
        <rFont val="Arial"/>
        <family val="2"/>
      </rPr>
      <t>maks</t>
    </r>
    <r>
      <rPr>
        <sz val="10"/>
        <rFont val="Arial"/>
        <family val="2"/>
      </rPr>
      <t>/L'</t>
    </r>
    <r>
      <rPr>
        <vertAlign val="subscript"/>
        <sz val="10"/>
        <rFont val="Arial"/>
        <family val="2"/>
      </rPr>
      <t>min</t>
    </r>
  </si>
  <si>
    <t>5.3 Dicom GSDF kompatibilitet</t>
  </si>
  <si>
    <t>5.5 Homogenitet</t>
  </si>
  <si>
    <t>5.6 Artefakter</t>
  </si>
  <si>
    <t>5.7 Visuel test</t>
  </si>
  <si>
    <r>
      <t>5.4 Forskel på L</t>
    </r>
    <r>
      <rPr>
        <vertAlign val="subscript"/>
        <sz val="10"/>
        <rFont val="Arial"/>
        <family val="2"/>
      </rPr>
      <t>maks</t>
    </r>
    <r>
      <rPr>
        <sz val="10"/>
        <rFont val="Arial"/>
        <family val="2"/>
      </rPr>
      <t xml:space="preserve"> (center)</t>
    </r>
  </si>
  <si>
    <t>Indstillet kal. lystæthed:</t>
  </si>
  <si>
    <t>5.1</t>
  </si>
  <si>
    <t>5.2-5.4</t>
  </si>
  <si>
    <t>5.5</t>
  </si>
  <si>
    <t>5.6</t>
  </si>
  <si>
    <t>5.7</t>
  </si>
  <si>
    <t>TG 18-QC</t>
  </si>
  <si>
    <t>Dokumenthovedet er til inspiration og er lavet ift. et sygehus. Der er ikke logik på 'Logo', 'RegionX' og 'Enhed', så data overføres til andre faner. Ret selv til, så det passer til egne forhold (f.eks. kiropraktor).</t>
  </si>
  <si>
    <t>Refleksionskoefficienten skal oplyses på oplysningssiden for at kunne beregne de relevante parametre i fane 5.2-5.4. Man kan fra en rullemenu beskrive, hvorfra man har værdien.</t>
  </si>
  <si>
    <t>Refleksionskoefficient:</t>
  </si>
  <si>
    <r>
      <t>L</t>
    </r>
    <r>
      <rPr>
        <vertAlign val="subscript"/>
        <sz val="9"/>
        <rFont val="Arial"/>
        <family val="2"/>
      </rPr>
      <t>amb</t>
    </r>
    <r>
      <rPr>
        <sz val="9"/>
        <rFont val="Arial"/>
        <family val="2"/>
      </rPr>
      <t xml:space="preserve"> (celle F33) beregnes automatisk ved hjælp af refleksionskoefficienten fra oplysningssiden og belysningsstyrken fra 5.1.</t>
    </r>
  </si>
  <si>
    <r>
      <t>L</t>
    </r>
    <r>
      <rPr>
        <vertAlign val="subscript"/>
        <sz val="9"/>
        <rFont val="Arial"/>
        <family val="2"/>
      </rPr>
      <t>amb</t>
    </r>
    <r>
      <rPr>
        <sz val="9"/>
        <rFont val="Arial"/>
        <family val="2"/>
      </rPr>
      <t xml:space="preserve"> (celle AG33) beregnes automatisk ved hjælp af refleksionskoefficienten fra oplysningssiden og belysningsstyrken fra 5.1.</t>
    </r>
  </si>
  <si>
    <r>
      <t>L</t>
    </r>
    <r>
      <rPr>
        <vertAlign val="subscript"/>
        <sz val="9"/>
        <rFont val="Arial"/>
        <family val="2"/>
      </rPr>
      <t>amb</t>
    </r>
    <r>
      <rPr>
        <sz val="9"/>
        <rFont val="Arial"/>
        <family val="2"/>
      </rPr>
      <t xml:space="preserve"> (celle F33) udregnes automatisk ved hjælp af refleksionskoefficienten fra oplysningssiden og belysningsstyrken fra 5.1.</t>
    </r>
  </si>
  <si>
    <t>Alternativt måles den direkte med lysmåleren på den slukkede skærm og indtastes i celle AG33.</t>
  </si>
  <si>
    <t>Gentag for næste monitor, hvis der er en sådan (række 70 og frem).</t>
  </si>
  <si>
    <r>
      <t>L</t>
    </r>
    <r>
      <rPr>
        <vertAlign val="subscript"/>
        <sz val="9"/>
        <rFont val="Arial"/>
        <family val="2"/>
      </rPr>
      <t>amb</t>
    </r>
    <r>
      <rPr>
        <sz val="9"/>
        <rFont val="Arial"/>
        <family val="2"/>
      </rPr>
      <t xml:space="preserve"> (celle AG33) udregnes automatisk ved hjælp af refleksionskoefficienten fra oplysningssiden og belysningsstyrken fra 5.1.</t>
    </r>
  </si>
  <si>
    <t>Udskriftsområdet er valgt, så oversigten visen på to ark, med eventuelle bemærkninger på andet ark.</t>
  </si>
  <si>
    <t>Dette ark er et supplement til Sundhedsstyrelsens vejledning om diagnostiske monitorer (april 2018).</t>
  </si>
  <si>
    <t>Fanerne følger rækkefølgen af kontrollen.</t>
  </si>
  <si>
    <t>Fane 5.2-5.4 trækker på data indtastet i fane 5.1.</t>
  </si>
  <si>
    <t>Fanen er sat op til at kunne udføres med 2 forskellige testbilleder. Venstre halvdel bruger 18 punkter svarende til 18 pixelværdier til hvert af de to forskellige TG-18-billeder. Højre halvdel bruger 11 pixelværdier til SMPTE-133.</t>
  </si>
  <si>
    <t>I fanen er en del af bereningerne bag GSDF-kurven skjult. Det drejer sig om kolonnerne fra L til AA og fra AM til BB.</t>
  </si>
  <si>
    <t>Indtast enten lystætheden uden -  eller med omgivelseslysets refleksion i hhv. kolonne C eller  D.</t>
  </si>
  <si>
    <t xml:space="preserve">            Bemærkninger</t>
  </si>
  <si>
    <t>Email:</t>
  </si>
  <si>
    <t>Telefon:</t>
  </si>
  <si>
    <t>At testbilledet generelt fremstår OK uden uregelmæssigheder eller artefakter</t>
  </si>
  <si>
    <t>At alle kanter og linjer er synlige</t>
  </si>
  <si>
    <t>At testbilledet er centreret i det aktive område på skærmen</t>
  </si>
  <si>
    <t>At gråtoneramper fremstår kontinuerlige og uden konturkanter (orange prikker)</t>
  </si>
  <si>
    <t>At linjeparmønstrene i centrum og i hjørnerne af testbilledet er synlige (blå prikker)</t>
  </si>
  <si>
    <t>At 5 % og 95 % firkanterne er synlige og om det er muligt at se en lille firkant indeni den store firkant (gule prikker)</t>
  </si>
  <si>
    <t>At alle 16 luminansfelter er mulige at adskille, samt om man kan se de små firkanter i hjørnerne af luminansfelterne (røde prikker)</t>
  </si>
  <si>
    <t>At det er muligt at skelne lavkontrastteksten ”Quality Control” fra baggrunden i alle tre felter (grønne prikker)</t>
  </si>
  <si>
    <t>Værfi</t>
  </si>
  <si>
    <t>5.2 Forhold mellem Lmin/Lamb</t>
  </si>
  <si>
    <t>Forudindtastede felter fjernet; på fanen 5.2-5.4 Forhold; GSDF; forskel er fire forhold omdøbt til: '5.2 Forhold mellem Lmin/Lamb'.</t>
  </si>
  <si>
    <t>Ikke OK!</t>
  </si>
  <si>
    <t xml:space="preserve">Herefter udfyldes kolonne AE. </t>
  </si>
  <si>
    <t>Herefter udfyldes kolonne AD.</t>
  </si>
  <si>
    <t>SIS, maj 2018.</t>
  </si>
  <si>
    <t>Version 1.2, 31.05.18.</t>
  </si>
  <si>
    <t>Version 1.1, 16.05.18</t>
  </si>
  <si>
    <t>Logik til beregning genindsat i de 4 tabeller på fanen 5.2-5.4 Forhold; GSDF; forskel.  i kollerne D og AE .</t>
  </si>
  <si>
    <t>Version 1.3 15.06.18</t>
  </si>
  <si>
    <t>Rettet ligningen i afsnit 5.5, fra at forholde sig til middelværdien til at forholde sig til laveste værdi</t>
  </si>
  <si>
    <t>Version 1.4 25.09.18</t>
  </si>
  <si>
    <t>Rettet kontrastforhold i afsnit 5.2-5.4 celle AE49, fra at forholde sig til 400 til den korrekte værdi i celle AF49</t>
  </si>
  <si>
    <t>Rettet fejl cellerne AE36-AE46  i afsnit 5.2-5.4, kolonnen 'Inkl. Omg.' Formel stod dobbelt og gav regnefejl.</t>
  </si>
  <si>
    <t>Rettet fejl i celle F35  i afsnit 'Samlet rapport (SMPTE)'. Formel gav regnefejl.</t>
  </si>
  <si>
    <t>Version 1.5 22.11.18</t>
  </si>
  <si>
    <t>Rettet at cellerne D56 og D109 i regnearket på fanen 5.2-5.4 ikke ændredes til rød ved overskridelse af tolerance.</t>
  </si>
  <si>
    <t>2=1,5</t>
  </si>
  <si>
    <t>Version 1.6 04.02.19</t>
  </si>
  <si>
    <t>Rettet den viste fomel i fane 5.5. Der skal ikke evalueres ift. middel af højeste og laveste værdi, men kun ift. laveste værdi. Selve beregningerne i cellerne B18 og B27 har svaret til vejledningens afsnit 5.5.5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</si>
</sst>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
    <numFmt numFmtId="165" formatCode="0.0%"/>
    <numFmt numFmtId="166" formatCode="0.0000000E+00"/>
    <numFmt numFmtId="167" formatCode="0.0"/>
    <numFmt numFmtId="168" formatCode="[$-406]d\.\ mmmm\ yyyy;@"/>
  </numFmts>
  <fonts count="50">
    <font>
      <sz val="10"/>
      <name val="Arial"/>
    </font>
    <font>
      <sz val="11"/>
      <color theme="1"/>
      <name val="Calibri"/>
      <family val="2"/>
      <scheme val="minor"/>
    </font>
    <font>
      <b/>
      <u/>
      <sz val="9"/>
      <name val="Arial"/>
      <family val="2"/>
    </font>
    <font>
      <sz val="9"/>
      <name val="Arial"/>
      <family val="2"/>
    </font>
    <font>
      <b/>
      <sz val="9"/>
      <name val="Arial"/>
      <family val="2"/>
    </font>
    <font>
      <b/>
      <vertAlign val="superscript"/>
      <sz val="9"/>
      <name val="Arial"/>
      <family val="2"/>
    </font>
    <font>
      <sz val="9"/>
      <color indexed="8"/>
      <name val="Arial"/>
      <family val="2"/>
    </font>
    <font>
      <sz val="9"/>
      <color indexed="8"/>
      <name val="Albany"/>
      <family val="2"/>
    </font>
    <font>
      <b/>
      <i/>
      <sz val="9"/>
      <name val="Arial"/>
      <family val="2"/>
    </font>
    <font>
      <sz val="8"/>
      <name val="Arial"/>
      <family val="2"/>
    </font>
    <font>
      <b/>
      <vertAlign val="subscript"/>
      <sz val="9"/>
      <name val="Arial"/>
      <family val="2"/>
    </font>
    <font>
      <u/>
      <sz val="10"/>
      <color indexed="12"/>
      <name val="Arial"/>
      <family val="2"/>
    </font>
    <font>
      <sz val="11"/>
      <color indexed="62"/>
      <name val="Calibri"/>
      <family val="2"/>
    </font>
    <font>
      <b/>
      <sz val="10"/>
      <name val="Arial"/>
      <family val="2"/>
    </font>
    <font>
      <sz val="18"/>
      <name val="Arial"/>
      <family val="2"/>
    </font>
    <font>
      <b/>
      <sz val="12"/>
      <name val="Arial"/>
      <family val="2"/>
    </font>
    <font>
      <b/>
      <sz val="8"/>
      <color indexed="81"/>
      <name val="Tahoma"/>
      <family val="2"/>
    </font>
    <font>
      <b/>
      <vertAlign val="superscript"/>
      <sz val="8"/>
      <color indexed="81"/>
      <name val="Tahoma"/>
      <family val="2"/>
    </font>
    <font>
      <vertAlign val="subscript"/>
      <sz val="10"/>
      <name val="Arial"/>
      <family val="2"/>
    </font>
    <font>
      <sz val="10"/>
      <name val="Arial"/>
      <family val="2"/>
    </font>
    <font>
      <b/>
      <i/>
      <sz val="14"/>
      <name val="Arial"/>
      <family val="2"/>
    </font>
    <font>
      <sz val="10"/>
      <color indexed="81"/>
      <name val="Tahoma"/>
      <family val="2"/>
    </font>
    <font>
      <vertAlign val="subscript"/>
      <sz val="10"/>
      <color indexed="81"/>
      <name val="Tahoma"/>
      <family val="2"/>
    </font>
    <font>
      <b/>
      <sz val="10"/>
      <color indexed="81"/>
      <name val="Tahoma"/>
      <family val="2"/>
    </font>
    <font>
      <b/>
      <vertAlign val="subscript"/>
      <sz val="10"/>
      <color indexed="81"/>
      <name val="Tahoma"/>
      <family val="2"/>
    </font>
    <font>
      <b/>
      <sz val="18"/>
      <name val="Arial"/>
      <family val="2"/>
    </font>
    <font>
      <b/>
      <sz val="11"/>
      <color theme="1"/>
      <name val="Calibri"/>
      <family val="2"/>
      <scheme val="minor"/>
    </font>
    <font>
      <b/>
      <i/>
      <sz val="11"/>
      <color theme="1"/>
      <name val="Calibri"/>
      <family val="2"/>
      <scheme val="minor"/>
    </font>
    <font>
      <b/>
      <i/>
      <vertAlign val="subscript"/>
      <sz val="11"/>
      <color theme="1"/>
      <name val="Calibri"/>
      <family val="2"/>
      <scheme val="minor"/>
    </font>
    <font>
      <b/>
      <vertAlign val="subscript"/>
      <sz val="11"/>
      <color theme="1"/>
      <name val="Calibri"/>
      <family val="2"/>
      <scheme val="minor"/>
    </font>
    <font>
      <b/>
      <vertAlign val="superscript"/>
      <sz val="11"/>
      <color theme="1"/>
      <name val="Calibri"/>
      <family val="2"/>
      <scheme val="minor"/>
    </font>
    <font>
      <i/>
      <sz val="10"/>
      <name val="Arial"/>
      <family val="2"/>
    </font>
    <font>
      <sz val="9"/>
      <color indexed="81"/>
      <name val="Tahoma"/>
      <family val="2"/>
    </font>
    <font>
      <b/>
      <sz val="9"/>
      <color indexed="81"/>
      <name val="Tahoma"/>
      <family val="2"/>
    </font>
    <font>
      <sz val="9"/>
      <color indexed="81"/>
      <name val="Tahoma"/>
      <charset val="1"/>
    </font>
    <font>
      <b/>
      <sz val="9"/>
      <color indexed="81"/>
      <name val="Tahoma"/>
      <charset val="1"/>
    </font>
    <font>
      <i/>
      <sz val="11"/>
      <color theme="1"/>
      <name val="Calibri"/>
      <family val="2"/>
      <scheme val="minor"/>
    </font>
    <font>
      <i/>
      <vertAlign val="subscript"/>
      <sz val="11"/>
      <color theme="1"/>
      <name val="Calibri"/>
      <family val="2"/>
      <scheme val="minor"/>
    </font>
    <font>
      <vertAlign val="subscript"/>
      <sz val="11"/>
      <color theme="1"/>
      <name val="Calibri"/>
      <family val="2"/>
      <scheme val="minor"/>
    </font>
    <font>
      <sz val="11"/>
      <color rgb="FF262626"/>
      <name val="Times New Roman"/>
      <family val="1"/>
    </font>
    <font>
      <sz val="10"/>
      <name val="Arial"/>
    </font>
    <font>
      <sz val="10"/>
      <color indexed="8"/>
      <name val="Arial"/>
      <family val="2"/>
    </font>
    <font>
      <b/>
      <sz val="26"/>
      <name val="Arial"/>
      <family val="2"/>
    </font>
    <font>
      <b/>
      <sz val="26"/>
      <color indexed="9"/>
      <name val="Arial"/>
      <family val="2"/>
    </font>
    <font>
      <b/>
      <sz val="12"/>
      <color indexed="9"/>
      <name val="Arial"/>
      <family val="2"/>
    </font>
    <font>
      <b/>
      <i/>
      <sz val="18"/>
      <color indexed="23"/>
      <name val="Arial"/>
      <family val="2"/>
    </font>
    <font>
      <b/>
      <i/>
      <sz val="10"/>
      <color indexed="23"/>
      <name val="Arial"/>
      <family val="2"/>
    </font>
    <font>
      <u/>
      <sz val="10"/>
      <color theme="10"/>
      <name val="Arial"/>
      <family val="2"/>
    </font>
    <font>
      <sz val="10"/>
      <color rgb="FFFFFF00"/>
      <name val="Arial"/>
      <family val="2"/>
    </font>
    <font>
      <vertAlign val="subscript"/>
      <sz val="9"/>
      <name val="Arial"/>
      <family val="2"/>
    </font>
  </fonts>
  <fills count="19">
    <fill>
      <patternFill patternType="none"/>
    </fill>
    <fill>
      <patternFill patternType="gray125"/>
    </fill>
    <fill>
      <patternFill patternType="solid">
        <fgColor indexed="9"/>
        <bgColor indexed="64"/>
      </patternFill>
    </fill>
    <fill>
      <patternFill patternType="solid">
        <fgColor rgb="FF00B0F0"/>
        <bgColor indexed="64"/>
      </patternFill>
    </fill>
    <fill>
      <patternFill patternType="solid">
        <fgColor theme="0" tint="-0.14999847407452621"/>
        <bgColor indexed="64"/>
      </patternFill>
    </fill>
    <fill>
      <patternFill patternType="solid">
        <fgColor rgb="FF92D050"/>
        <bgColor indexed="64"/>
      </patternFill>
    </fill>
    <fill>
      <patternFill patternType="solid">
        <fgColor indexed="44"/>
        <bgColor indexed="64"/>
      </patternFill>
    </fill>
    <fill>
      <patternFill patternType="solid">
        <fgColor indexed="23"/>
        <bgColor indexed="64"/>
      </patternFill>
    </fill>
    <fill>
      <patternFill patternType="solid">
        <fgColor indexed="22"/>
        <bgColor indexed="64"/>
      </patternFill>
    </fill>
    <fill>
      <patternFill patternType="solid">
        <fgColor indexed="41"/>
        <bgColor indexed="64"/>
      </patternFill>
    </fill>
    <fill>
      <patternFill patternType="solid">
        <fgColor indexed="10"/>
        <bgColor indexed="64"/>
      </patternFill>
    </fill>
    <fill>
      <patternFill patternType="solid">
        <fgColor theme="0"/>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rgb="FF99CCFF"/>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FF00"/>
        <bgColor indexed="64"/>
      </patternFill>
    </fill>
    <fill>
      <patternFill patternType="solid">
        <fgColor rgb="FFCCFFFF"/>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8"/>
      </right>
      <top style="thin">
        <color indexed="64"/>
      </top>
      <bottom/>
      <diagonal/>
    </border>
    <border>
      <left style="thin">
        <color indexed="8"/>
      </left>
      <right/>
      <top style="thin">
        <color indexed="64"/>
      </top>
      <bottom/>
      <diagonal/>
    </border>
    <border>
      <left style="thin">
        <color indexed="8"/>
      </left>
      <right style="thin">
        <color indexed="8"/>
      </right>
      <top style="thin">
        <color indexed="64"/>
      </top>
      <bottom/>
      <diagonal/>
    </border>
    <border>
      <left style="thin">
        <color indexed="64"/>
      </left>
      <right style="thin">
        <color indexed="8"/>
      </right>
      <top/>
      <bottom/>
      <diagonal/>
    </border>
    <border>
      <left style="thin">
        <color indexed="8"/>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8"/>
      </right>
      <top/>
      <bottom style="thin">
        <color indexed="64"/>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style="thin">
        <color indexed="8"/>
      </left>
      <right style="thin">
        <color indexed="64"/>
      </right>
      <top/>
      <bottom style="thin">
        <color indexed="64"/>
      </bottom>
      <diagonal/>
    </border>
    <border>
      <left style="thin">
        <color indexed="8"/>
      </left>
      <right style="thin">
        <color indexed="64"/>
      </right>
      <top style="thin">
        <color indexed="64"/>
      </top>
      <bottom/>
      <diagonal/>
    </border>
    <border>
      <left/>
      <right style="thin">
        <color indexed="8"/>
      </right>
      <top style="thin">
        <color indexed="64"/>
      </top>
      <bottom/>
      <diagonal/>
    </border>
    <border>
      <left/>
      <right style="thin">
        <color indexed="8"/>
      </right>
      <top/>
      <bottom/>
      <diagonal/>
    </border>
    <border>
      <left/>
      <right style="thin">
        <color indexed="8"/>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s>
  <cellStyleXfs count="5">
    <xf numFmtId="0" fontId="0" fillId="0" borderId="0"/>
    <xf numFmtId="0" fontId="11" fillId="0" borderId="0" applyNumberFormat="0" applyFill="0" applyBorder="0" applyAlignment="0" applyProtection="0">
      <alignment vertical="top"/>
      <protection locked="0"/>
    </xf>
    <xf numFmtId="0" fontId="47" fillId="0" borderId="0" applyNumberFormat="0" applyFill="0" applyBorder="0" applyAlignment="0" applyProtection="0"/>
    <xf numFmtId="0" fontId="11" fillId="0" borderId="0" applyNumberFormat="0" applyFill="0" applyBorder="0" applyAlignment="0" applyProtection="0">
      <alignment vertical="top"/>
      <protection locked="0"/>
    </xf>
    <xf numFmtId="0" fontId="19" fillId="0" borderId="0"/>
  </cellStyleXfs>
  <cellXfs count="587">
    <xf numFmtId="0" fontId="0" fillId="0" borderId="0" xfId="0"/>
    <xf numFmtId="0" fontId="2" fillId="0" borderId="0" xfId="0" applyFont="1" applyFill="1"/>
    <xf numFmtId="0" fontId="3" fillId="0" borderId="0" xfId="0" applyFont="1" applyFill="1"/>
    <xf numFmtId="0" fontId="4" fillId="0" borderId="0" xfId="0" applyFont="1" applyFill="1"/>
    <xf numFmtId="0" fontId="3" fillId="0" borderId="0" xfId="0" applyFont="1" applyFill="1" applyBorder="1" applyAlignment="1">
      <alignment horizontal="center"/>
    </xf>
    <xf numFmtId="0" fontId="3" fillId="0" borderId="0" xfId="0" applyFont="1" applyFill="1" applyAlignment="1">
      <alignment horizontal="center"/>
    </xf>
    <xf numFmtId="0" fontId="3" fillId="0" borderId="8" xfId="0" applyFont="1" applyFill="1" applyBorder="1" applyAlignment="1">
      <alignment horizontal="center"/>
    </xf>
    <xf numFmtId="2" fontId="3" fillId="0" borderId="10" xfId="0" applyNumberFormat="1" applyFont="1" applyFill="1" applyBorder="1" applyAlignment="1">
      <alignment horizontal="center"/>
    </xf>
    <xf numFmtId="0" fontId="7" fillId="0" borderId="0" xfId="0" applyFont="1" applyFill="1" applyAlignment="1">
      <alignment horizontal="center"/>
    </xf>
    <xf numFmtId="0" fontId="7" fillId="0" borderId="0" xfId="0" applyFont="1" applyFill="1" applyBorder="1" applyAlignment="1">
      <alignment horizontal="center"/>
    </xf>
    <xf numFmtId="0" fontId="3" fillId="0" borderId="0" xfId="0" applyNumberFormat="1" applyFont="1" applyFill="1" applyAlignment="1">
      <alignment horizontal="center"/>
    </xf>
    <xf numFmtId="0" fontId="3" fillId="0" borderId="0" xfId="0" applyNumberFormat="1" applyFont="1" applyFill="1"/>
    <xf numFmtId="0" fontId="3" fillId="0" borderId="0" xfId="0" applyNumberFormat="1" applyFont="1" applyFill="1" applyBorder="1" applyAlignment="1">
      <alignment horizontal="center"/>
    </xf>
    <xf numFmtId="2" fontId="3" fillId="0" borderId="0" xfId="0" applyNumberFormat="1" applyFont="1" applyFill="1" applyBorder="1" applyAlignment="1">
      <alignment horizontal="left"/>
    </xf>
    <xf numFmtId="0" fontId="8" fillId="0" borderId="0" xfId="0" applyFont="1" applyFill="1"/>
    <xf numFmtId="2" fontId="3" fillId="0" borderId="5" xfId="0" applyNumberFormat="1" applyFont="1" applyFill="1" applyBorder="1" applyAlignment="1">
      <alignment horizontal="center"/>
    </xf>
    <xf numFmtId="0" fontId="3" fillId="0" borderId="0" xfId="0" applyFont="1" applyFill="1" applyBorder="1"/>
    <xf numFmtId="0" fontId="6" fillId="0" borderId="0" xfId="0" applyFont="1" applyFill="1" applyBorder="1" applyAlignment="1">
      <alignment horizontal="center"/>
    </xf>
    <xf numFmtId="9" fontId="3" fillId="0" borderId="1" xfId="0" applyNumberFormat="1" applyFont="1" applyFill="1" applyBorder="1" applyAlignment="1">
      <alignment horizontal="center"/>
    </xf>
    <xf numFmtId="2" fontId="3" fillId="0" borderId="2" xfId="0" applyNumberFormat="1" applyFont="1" applyFill="1" applyBorder="1" applyAlignment="1" applyProtection="1">
      <alignment horizontal="center"/>
      <protection locked="0"/>
    </xf>
    <xf numFmtId="0" fontId="14" fillId="0" borderId="0" xfId="0" applyFont="1"/>
    <xf numFmtId="165" fontId="0" fillId="0" borderId="0" xfId="0" applyNumberFormat="1"/>
    <xf numFmtId="0" fontId="15" fillId="0" borderId="0" xfId="0" applyFont="1" applyFill="1"/>
    <xf numFmtId="0" fontId="0" fillId="0" borderId="0" xfId="0" applyAlignment="1">
      <alignment horizontal="right"/>
    </xf>
    <xf numFmtId="0" fontId="0" fillId="0" borderId="0" xfId="0" applyAlignment="1">
      <alignment horizontal="center"/>
    </xf>
    <xf numFmtId="0" fontId="20" fillId="0" borderId="0" xfId="0" applyFont="1" applyFill="1"/>
    <xf numFmtId="167" fontId="3" fillId="0" borderId="1" xfId="0" applyNumberFormat="1" applyFont="1" applyFill="1" applyBorder="1" applyAlignment="1">
      <alignment horizontal="center"/>
    </xf>
    <xf numFmtId="0" fontId="0" fillId="0" borderId="0" xfId="0" applyFill="1"/>
    <xf numFmtId="0" fontId="0" fillId="5" borderId="0" xfId="0" applyFill="1" applyBorder="1" applyAlignment="1">
      <alignment horizontal="center"/>
    </xf>
    <xf numFmtId="167" fontId="0" fillId="5" borderId="37" xfId="0" applyNumberFormat="1" applyFill="1" applyBorder="1" applyAlignment="1">
      <alignment horizontal="center"/>
    </xf>
    <xf numFmtId="0" fontId="0" fillId="0" borderId="0" xfId="0" applyAlignment="1">
      <alignment vertical="center" wrapText="1"/>
    </xf>
    <xf numFmtId="0" fontId="19" fillId="0" borderId="0" xfId="0" applyFont="1" applyBorder="1"/>
    <xf numFmtId="0" fontId="0" fillId="5" borderId="32" xfId="0" applyFill="1" applyBorder="1" applyAlignment="1">
      <alignment horizontal="center"/>
    </xf>
    <xf numFmtId="167" fontId="0" fillId="5" borderId="35" xfId="0" applyNumberFormat="1" applyFill="1" applyBorder="1" applyAlignment="1">
      <alignment horizontal="center"/>
    </xf>
    <xf numFmtId="0" fontId="0" fillId="5" borderId="39" xfId="0" applyFill="1" applyBorder="1" applyAlignment="1">
      <alignment horizontal="center"/>
    </xf>
    <xf numFmtId="167" fontId="0" fillId="5" borderId="40" xfId="0" applyNumberFormat="1" applyFill="1" applyBorder="1" applyAlignment="1">
      <alignment horizontal="center"/>
    </xf>
    <xf numFmtId="0" fontId="0" fillId="0" borderId="0" xfId="0"/>
    <xf numFmtId="0" fontId="19" fillId="0" borderId="0" xfId="0" applyFont="1" applyAlignment="1" applyProtection="1">
      <alignment horizontal="center" vertical="center"/>
    </xf>
    <xf numFmtId="0" fontId="0" fillId="0" borderId="0" xfId="0" applyProtection="1"/>
    <xf numFmtId="0" fontId="0" fillId="0" borderId="0" xfId="0" applyBorder="1" applyProtection="1"/>
    <xf numFmtId="0" fontId="0" fillId="0" borderId="0" xfId="0" applyFill="1" applyProtection="1"/>
    <xf numFmtId="0" fontId="0" fillId="0" borderId="36" xfId="0" applyBorder="1" applyProtection="1"/>
    <xf numFmtId="0" fontId="19" fillId="0" borderId="32" xfId="0" applyFont="1" applyFill="1" applyBorder="1" applyAlignment="1" applyProtection="1">
      <alignment vertical="center"/>
    </xf>
    <xf numFmtId="0" fontId="19" fillId="0" borderId="0" xfId="0" applyFont="1" applyFill="1" applyAlignment="1" applyProtection="1">
      <alignment horizontal="center" vertical="center"/>
    </xf>
    <xf numFmtId="0" fontId="42" fillId="0" borderId="0" xfId="0" applyFont="1" applyFill="1" applyAlignment="1" applyProtection="1">
      <alignment horizontal="center" vertical="center"/>
    </xf>
    <xf numFmtId="0" fontId="19" fillId="0" borderId="0" xfId="0" applyFont="1" applyFill="1" applyBorder="1" applyAlignment="1" applyProtection="1">
      <alignment vertical="center"/>
    </xf>
    <xf numFmtId="0" fontId="0" fillId="0" borderId="43" xfId="0" applyBorder="1" applyAlignment="1" applyProtection="1">
      <alignment horizontal="center"/>
    </xf>
    <xf numFmtId="0" fontId="19" fillId="8" borderId="52" xfId="0" applyFont="1" applyFill="1" applyBorder="1" applyAlignment="1" applyProtection="1">
      <alignment horizontal="left" vertical="center"/>
      <protection locked="0"/>
    </xf>
    <xf numFmtId="0" fontId="19" fillId="8" borderId="28" xfId="0" applyFont="1" applyFill="1" applyBorder="1" applyAlignment="1" applyProtection="1">
      <alignment horizontal="left" vertical="center"/>
      <protection locked="0"/>
    </xf>
    <xf numFmtId="0" fontId="19" fillId="8" borderId="29" xfId="0" applyFont="1" applyFill="1" applyBorder="1" applyAlignment="1" applyProtection="1">
      <alignment horizontal="left" vertical="center"/>
      <protection locked="0"/>
    </xf>
    <xf numFmtId="0" fontId="19" fillId="8" borderId="28" xfId="0" applyFont="1" applyFill="1" applyBorder="1" applyAlignment="1" applyProtection="1">
      <alignment horizontal="right" vertical="center"/>
      <protection locked="0"/>
    </xf>
    <xf numFmtId="0" fontId="19" fillId="8" borderId="29" xfId="0" applyFont="1" applyFill="1" applyBorder="1" applyAlignment="1" applyProtection="1">
      <alignment horizontal="right" vertical="center"/>
      <protection locked="0"/>
    </xf>
    <xf numFmtId="0" fontId="19" fillId="8" borderId="52" xfId="0" applyFont="1" applyFill="1" applyBorder="1" applyAlignment="1" applyProtection="1">
      <alignment horizontal="left" vertical="center"/>
    </xf>
    <xf numFmtId="0" fontId="19" fillId="8" borderId="28" xfId="0" applyFont="1" applyFill="1" applyBorder="1" applyAlignment="1" applyProtection="1">
      <alignment horizontal="left" vertical="center"/>
    </xf>
    <xf numFmtId="0" fontId="19" fillId="8" borderId="29" xfId="0" applyFont="1" applyFill="1" applyBorder="1" applyAlignment="1" applyProtection="1">
      <alignment horizontal="left" vertical="center"/>
    </xf>
    <xf numFmtId="0" fontId="0" fillId="8" borderId="28" xfId="0" applyFill="1" applyBorder="1" applyAlignment="1" applyProtection="1">
      <alignment horizontal="left"/>
    </xf>
    <xf numFmtId="0" fontId="19" fillId="8" borderId="49" xfId="0" applyFont="1" applyFill="1" applyBorder="1" applyAlignment="1" applyProtection="1">
      <alignment horizontal="left" vertical="center"/>
    </xf>
    <xf numFmtId="0" fontId="0" fillId="8" borderId="50" xfId="0" applyFill="1" applyBorder="1" applyAlignment="1" applyProtection="1">
      <alignment horizontal="left"/>
    </xf>
    <xf numFmtId="0" fontId="19" fillId="8" borderId="50" xfId="0" applyFont="1" applyFill="1" applyBorder="1" applyAlignment="1" applyProtection="1">
      <alignment horizontal="left" vertical="center"/>
    </xf>
    <xf numFmtId="0" fontId="19" fillId="8" borderId="54" xfId="0" applyFont="1" applyFill="1" applyBorder="1" applyAlignment="1" applyProtection="1">
      <alignment horizontal="left" vertical="center"/>
    </xf>
    <xf numFmtId="0" fontId="19" fillId="8" borderId="46" xfId="0" applyFont="1" applyFill="1" applyBorder="1" applyAlignment="1" applyProtection="1">
      <alignment horizontal="left" vertical="center"/>
      <protection locked="0"/>
    </xf>
    <xf numFmtId="0" fontId="19" fillId="8" borderId="44" xfId="0" applyFont="1" applyFill="1" applyBorder="1" applyAlignment="1" applyProtection="1">
      <alignment horizontal="left" vertical="center"/>
      <protection locked="0"/>
    </xf>
    <xf numFmtId="0" fontId="19" fillId="8" borderId="47" xfId="0" applyFont="1" applyFill="1" applyBorder="1" applyAlignment="1" applyProtection="1">
      <alignment horizontal="left" vertical="center"/>
      <protection locked="0"/>
    </xf>
    <xf numFmtId="0" fontId="19" fillId="8" borderId="61" xfId="0" applyFont="1" applyFill="1" applyBorder="1" applyAlignment="1" applyProtection="1">
      <alignment horizontal="left" vertical="center"/>
    </xf>
    <xf numFmtId="0" fontId="0" fillId="8" borderId="7" xfId="0" applyFill="1" applyBorder="1" applyAlignment="1" applyProtection="1">
      <alignment horizontal="left"/>
    </xf>
    <xf numFmtId="0" fontId="13" fillId="8" borderId="52" xfId="0" applyFont="1" applyFill="1" applyBorder="1" applyAlignment="1" applyProtection="1">
      <alignment horizontal="left" vertical="center"/>
    </xf>
    <xf numFmtId="0" fontId="13" fillId="8" borderId="49" xfId="0" applyFont="1" applyFill="1" applyBorder="1" applyAlignment="1" applyProtection="1">
      <alignment horizontal="left" vertical="center"/>
    </xf>
    <xf numFmtId="0" fontId="19" fillId="8" borderId="46" xfId="0" applyFont="1" applyFill="1" applyBorder="1" applyAlignment="1" applyProtection="1">
      <alignment horizontal="left" vertical="center"/>
    </xf>
    <xf numFmtId="0" fontId="19" fillId="8" borderId="44" xfId="0" applyFont="1" applyFill="1" applyBorder="1" applyAlignment="1" applyProtection="1">
      <alignment horizontal="left" vertical="center"/>
    </xf>
    <xf numFmtId="0" fontId="19" fillId="8" borderId="47" xfId="0" applyFont="1" applyFill="1" applyBorder="1" applyAlignment="1" applyProtection="1">
      <alignment horizontal="left" vertical="center"/>
    </xf>
    <xf numFmtId="0" fontId="0" fillId="3" borderId="41" xfId="0" applyFill="1" applyBorder="1" applyAlignment="1" applyProtection="1">
      <alignment horizontal="center"/>
    </xf>
    <xf numFmtId="0" fontId="0" fillId="3" borderId="43" xfId="0" applyFill="1" applyBorder="1" applyAlignment="1" applyProtection="1">
      <alignment horizontal="center"/>
    </xf>
    <xf numFmtId="0" fontId="0" fillId="3" borderId="45" xfId="0" applyFill="1" applyBorder="1" applyAlignment="1" applyProtection="1">
      <alignment horizontal="center"/>
    </xf>
    <xf numFmtId="0" fontId="19" fillId="8" borderId="44" xfId="0" applyFont="1" applyFill="1" applyBorder="1" applyAlignment="1" applyProtection="1">
      <alignment horizontal="right" vertical="center"/>
      <protection locked="0"/>
    </xf>
    <xf numFmtId="0" fontId="0" fillId="8" borderId="61" xfId="0" applyFill="1" applyBorder="1" applyAlignment="1" applyProtection="1">
      <alignment horizontal="left"/>
    </xf>
    <xf numFmtId="0" fontId="0" fillId="8" borderId="38" xfId="0" applyFill="1" applyBorder="1" applyAlignment="1" applyProtection="1">
      <alignment horizontal="left"/>
    </xf>
    <xf numFmtId="0" fontId="3" fillId="0" borderId="0" xfId="0" applyFont="1" applyFill="1"/>
    <xf numFmtId="0" fontId="7" fillId="0" borderId="0" xfId="0" applyFont="1" applyFill="1" applyAlignment="1">
      <alignment horizontal="center"/>
    </xf>
    <xf numFmtId="0" fontId="3" fillId="14" borderId="1" xfId="0" applyNumberFormat="1" applyFont="1" applyFill="1" applyBorder="1" applyAlignment="1">
      <alignment horizontal="center"/>
    </xf>
    <xf numFmtId="2" fontId="3" fillId="14" borderId="1" xfId="0" applyNumberFormat="1" applyFont="1" applyFill="1" applyBorder="1" applyAlignment="1">
      <alignment horizontal="center"/>
    </xf>
    <xf numFmtId="2" fontId="3" fillId="14" borderId="19" xfId="0" applyNumberFormat="1" applyFont="1" applyFill="1" applyBorder="1" applyAlignment="1">
      <alignment horizontal="center"/>
    </xf>
    <xf numFmtId="0" fontId="3" fillId="14" borderId="11" xfId="0" applyFont="1" applyFill="1" applyBorder="1" applyAlignment="1">
      <alignment horizontal="center"/>
    </xf>
    <xf numFmtId="0" fontId="3" fillId="14" borderId="12" xfId="0" applyFont="1" applyFill="1" applyBorder="1" applyAlignment="1">
      <alignment horizontal="center"/>
    </xf>
    <xf numFmtId="0" fontId="3" fillId="14" borderId="14" xfId="0" applyFont="1" applyFill="1" applyBorder="1" applyAlignment="1">
      <alignment horizontal="center"/>
    </xf>
    <xf numFmtId="0" fontId="3" fillId="14" borderId="15" xfId="0" applyFont="1" applyFill="1" applyBorder="1" applyAlignment="1">
      <alignment horizontal="center"/>
    </xf>
    <xf numFmtId="0" fontId="3" fillId="14" borderId="20" xfId="0" applyFont="1" applyFill="1" applyBorder="1" applyAlignment="1">
      <alignment horizontal="center"/>
    </xf>
    <xf numFmtId="0" fontId="3" fillId="14" borderId="21" xfId="0" applyFont="1" applyFill="1" applyBorder="1" applyAlignment="1">
      <alignment horizontal="center"/>
    </xf>
    <xf numFmtId="2" fontId="3" fillId="14" borderId="25" xfId="0" applyNumberFormat="1" applyFont="1" applyFill="1" applyBorder="1" applyAlignment="1">
      <alignment horizontal="center"/>
    </xf>
    <xf numFmtId="2" fontId="3" fillId="14" borderId="13" xfId="0" applyNumberFormat="1" applyFont="1" applyFill="1" applyBorder="1" applyAlignment="1">
      <alignment horizontal="center"/>
    </xf>
    <xf numFmtId="164" fontId="3" fillId="14" borderId="13" xfId="0" applyNumberFormat="1" applyFont="1" applyFill="1" applyBorder="1" applyAlignment="1">
      <alignment horizontal="center" vertical="top" wrapText="1"/>
    </xf>
    <xf numFmtId="2" fontId="3" fillId="14" borderId="24" xfId="0" applyNumberFormat="1" applyFont="1" applyFill="1" applyBorder="1" applyAlignment="1">
      <alignment horizontal="center"/>
    </xf>
    <xf numFmtId="9" fontId="3" fillId="14" borderId="13" xfId="0" applyNumberFormat="1" applyFont="1" applyFill="1" applyBorder="1" applyAlignment="1">
      <alignment horizontal="center"/>
    </xf>
    <xf numFmtId="2" fontId="3" fillId="14" borderId="26" xfId="0" applyNumberFormat="1" applyFont="1" applyFill="1" applyBorder="1" applyAlignment="1">
      <alignment horizontal="center"/>
    </xf>
    <xf numFmtId="2" fontId="3" fillId="14" borderId="16" xfId="0" applyNumberFormat="1" applyFont="1" applyFill="1" applyBorder="1" applyAlignment="1">
      <alignment horizontal="center"/>
    </xf>
    <xf numFmtId="164" fontId="3" fillId="14" borderId="16" xfId="0" applyNumberFormat="1" applyFont="1" applyFill="1" applyBorder="1" applyAlignment="1">
      <alignment horizontal="center"/>
    </xf>
    <xf numFmtId="2" fontId="3" fillId="14" borderId="17" xfId="0" applyNumberFormat="1" applyFont="1" applyFill="1" applyBorder="1" applyAlignment="1">
      <alignment horizontal="center"/>
    </xf>
    <xf numFmtId="9" fontId="3" fillId="14" borderId="16" xfId="0" applyNumberFormat="1" applyFont="1" applyFill="1" applyBorder="1" applyAlignment="1">
      <alignment horizontal="center"/>
    </xf>
    <xf numFmtId="2" fontId="3" fillId="14" borderId="27" xfId="0" applyNumberFormat="1" applyFont="1" applyFill="1" applyBorder="1" applyAlignment="1">
      <alignment horizontal="center"/>
    </xf>
    <xf numFmtId="2" fontId="3" fillId="14" borderId="22" xfId="0" applyNumberFormat="1" applyFont="1" applyFill="1" applyBorder="1" applyAlignment="1">
      <alignment horizontal="center"/>
    </xf>
    <xf numFmtId="164" fontId="3" fillId="14" borderId="22" xfId="0" applyNumberFormat="1" applyFont="1" applyFill="1" applyBorder="1" applyAlignment="1">
      <alignment horizontal="center"/>
    </xf>
    <xf numFmtId="2" fontId="3" fillId="14" borderId="23" xfId="0" applyNumberFormat="1" applyFont="1" applyFill="1" applyBorder="1" applyAlignment="1">
      <alignment horizontal="center"/>
    </xf>
    <xf numFmtId="2" fontId="3" fillId="14" borderId="18" xfId="0" applyNumberFormat="1" applyFont="1" applyFill="1" applyBorder="1" applyAlignment="1">
      <alignment horizontal="center"/>
    </xf>
    <xf numFmtId="2" fontId="3" fillId="14" borderId="5" xfId="0" applyNumberFormat="1" applyFont="1" applyFill="1" applyBorder="1" applyAlignment="1">
      <alignment horizontal="center"/>
    </xf>
    <xf numFmtId="1" fontId="3" fillId="14" borderId="1" xfId="0" applyNumberFormat="1" applyFont="1" applyFill="1" applyBorder="1"/>
    <xf numFmtId="9" fontId="3" fillId="14" borderId="1" xfId="0" applyNumberFormat="1" applyFont="1" applyFill="1" applyBorder="1"/>
    <xf numFmtId="9" fontId="3" fillId="14" borderId="5" xfId="0" applyNumberFormat="1" applyFont="1" applyFill="1" applyBorder="1"/>
    <xf numFmtId="0" fontId="3" fillId="0" borderId="1" xfId="0" applyFont="1" applyFill="1" applyBorder="1"/>
    <xf numFmtId="165" fontId="3" fillId="14" borderId="1" xfId="0" applyNumberFormat="1" applyFont="1" applyFill="1" applyBorder="1"/>
    <xf numFmtId="0" fontId="3" fillId="15" borderId="34" xfId="0" applyFont="1" applyFill="1" applyBorder="1"/>
    <xf numFmtId="0" fontId="4" fillId="15" borderId="32" xfId="0" applyFont="1" applyFill="1" applyBorder="1" applyAlignment="1">
      <alignment horizontal="left"/>
    </xf>
    <xf numFmtId="0" fontId="3" fillId="15" borderId="32" xfId="0" applyFont="1" applyFill="1" applyBorder="1"/>
    <xf numFmtId="0" fontId="4" fillId="15" borderId="32" xfId="0" applyFont="1" applyFill="1" applyBorder="1"/>
    <xf numFmtId="0" fontId="3" fillId="15" borderId="35" xfId="0" applyFont="1" applyFill="1" applyBorder="1"/>
    <xf numFmtId="0" fontId="3" fillId="15" borderId="36" xfId="0" applyFont="1" applyFill="1" applyBorder="1"/>
    <xf numFmtId="0" fontId="3" fillId="15" borderId="0" xfId="0" applyFont="1" applyFill="1" applyBorder="1"/>
    <xf numFmtId="0" fontId="3" fillId="15" borderId="0" xfId="0" applyFont="1" applyFill="1" applyBorder="1" applyAlignment="1">
      <alignment horizontal="center"/>
    </xf>
    <xf numFmtId="166" fontId="3" fillId="15" borderId="0" xfId="0" applyNumberFormat="1" applyFont="1" applyFill="1" applyBorder="1"/>
    <xf numFmtId="0" fontId="3" fillId="15" borderId="37" xfId="0" applyFont="1" applyFill="1" applyBorder="1"/>
    <xf numFmtId="0" fontId="3" fillId="15" borderId="0" xfId="0" applyFont="1" applyFill="1" applyBorder="1" applyAlignment="1"/>
    <xf numFmtId="0" fontId="3" fillId="15" borderId="0" xfId="0" applyFont="1" applyFill="1" applyBorder="1" applyAlignment="1">
      <alignment horizontal="right"/>
    </xf>
    <xf numFmtId="0" fontId="3" fillId="15" borderId="37" xfId="0" applyFont="1" applyFill="1" applyBorder="1" applyAlignment="1">
      <alignment horizontal="center"/>
    </xf>
    <xf numFmtId="0" fontId="4" fillId="15" borderId="36" xfId="0" applyFont="1" applyFill="1" applyBorder="1"/>
    <xf numFmtId="0" fontId="4" fillId="15" borderId="4" xfId="0" applyFont="1" applyFill="1" applyBorder="1" applyAlignment="1">
      <alignment horizontal="center"/>
    </xf>
    <xf numFmtId="0" fontId="4" fillId="15" borderId="61" xfId="0" applyFont="1" applyFill="1" applyBorder="1" applyAlignment="1">
      <alignment horizontal="center"/>
    </xf>
    <xf numFmtId="0" fontId="4" fillId="15" borderId="7" xfId="0" applyFont="1" applyFill="1" applyBorder="1" applyAlignment="1">
      <alignment horizontal="center"/>
    </xf>
    <xf numFmtId="0" fontId="4" fillId="15" borderId="7" xfId="0" applyFont="1" applyFill="1" applyBorder="1"/>
    <xf numFmtId="0" fontId="4" fillId="15" borderId="7" xfId="0" quotePrefix="1" applyFont="1" applyFill="1" applyBorder="1" applyAlignment="1">
      <alignment horizontal="center"/>
    </xf>
    <xf numFmtId="9" fontId="4" fillId="15" borderId="7" xfId="0" applyNumberFormat="1" applyFont="1" applyFill="1" applyBorder="1" applyAlignment="1">
      <alignment horizontal="center"/>
    </xf>
    <xf numFmtId="0" fontId="3" fillId="15" borderId="36" xfId="0" applyFont="1" applyFill="1" applyBorder="1" applyAlignment="1">
      <alignment horizontal="center"/>
    </xf>
    <xf numFmtId="2" fontId="4" fillId="15" borderId="0" xfId="0" applyNumberFormat="1" applyFont="1" applyFill="1" applyBorder="1" applyAlignment="1">
      <alignment horizontal="center"/>
    </xf>
    <xf numFmtId="2" fontId="3" fillId="15" borderId="0" xfId="0" applyNumberFormat="1" applyFont="1" applyFill="1" applyBorder="1"/>
    <xf numFmtId="2" fontId="3" fillId="15" borderId="0" xfId="0" applyNumberFormat="1" applyFont="1" applyFill="1" applyBorder="1" applyAlignment="1">
      <alignment horizontal="center"/>
    </xf>
    <xf numFmtId="164" fontId="3" fillId="15" borderId="0" xfId="0" applyNumberFormat="1" applyFont="1" applyFill="1" applyBorder="1"/>
    <xf numFmtId="164" fontId="3" fillId="15" borderId="0" xfId="0" applyNumberFormat="1" applyFont="1" applyFill="1" applyBorder="1" applyAlignment="1">
      <alignment horizontal="center"/>
    </xf>
    <xf numFmtId="0" fontId="3" fillId="15" borderId="0" xfId="0" applyNumberFormat="1" applyFont="1" applyFill="1" applyBorder="1" applyAlignment="1">
      <alignment horizontal="center"/>
    </xf>
    <xf numFmtId="0" fontId="3" fillId="15" borderId="0" xfId="0" applyNumberFormat="1" applyFont="1" applyFill="1" applyBorder="1"/>
    <xf numFmtId="0" fontId="3" fillId="15" borderId="36" xfId="0" applyNumberFormat="1" applyFont="1" applyFill="1" applyBorder="1"/>
    <xf numFmtId="164" fontId="3" fillId="15" borderId="0" xfId="0" quotePrefix="1" applyNumberFormat="1" applyFont="1" applyFill="1" applyBorder="1" applyAlignment="1">
      <alignment horizontal="center"/>
    </xf>
    <xf numFmtId="0" fontId="3" fillId="15" borderId="38" xfId="0" applyFont="1" applyFill="1" applyBorder="1"/>
    <xf numFmtId="0" fontId="3" fillId="15" borderId="39" xfId="0" applyFont="1" applyFill="1" applyBorder="1" applyAlignment="1">
      <alignment horizontal="right"/>
    </xf>
    <xf numFmtId="164" fontId="3" fillId="15" borderId="39" xfId="0" applyNumberFormat="1" applyFont="1" applyFill="1" applyBorder="1" applyAlignment="1">
      <alignment horizontal="center"/>
    </xf>
    <xf numFmtId="0" fontId="3" fillId="15" borderId="39" xfId="0" applyFont="1" applyFill="1" applyBorder="1"/>
    <xf numFmtId="0" fontId="3" fillId="15" borderId="39" xfId="0" applyNumberFormat="1" applyFont="1" applyFill="1" applyBorder="1" applyAlignment="1">
      <alignment horizontal="center"/>
    </xf>
    <xf numFmtId="0" fontId="3" fillId="15" borderId="39" xfId="0" applyNumberFormat="1" applyFont="1" applyFill="1" applyBorder="1"/>
    <xf numFmtId="0" fontId="3" fillId="15" borderId="40" xfId="0" applyFont="1" applyFill="1" applyBorder="1"/>
    <xf numFmtId="9" fontId="3" fillId="15" borderId="0" xfId="0" applyNumberFormat="1" applyFont="1" applyFill="1" applyBorder="1" applyAlignment="1">
      <alignment horizontal="center"/>
    </xf>
    <xf numFmtId="0" fontId="4" fillId="15" borderId="0" xfId="0" applyFont="1" applyFill="1" applyBorder="1" applyAlignment="1">
      <alignment horizontal="left"/>
    </xf>
    <xf numFmtId="0" fontId="4" fillId="15" borderId="0" xfId="0" applyFont="1" applyFill="1" applyBorder="1"/>
    <xf numFmtId="0" fontId="11" fillId="15" borderId="0" xfId="1" applyFill="1" applyBorder="1" applyAlignment="1" applyProtection="1"/>
    <xf numFmtId="0" fontId="3" fillId="0" borderId="8" xfId="0" applyFont="1" applyFill="1" applyBorder="1"/>
    <xf numFmtId="2" fontId="3" fillId="14" borderId="10" xfId="0" applyNumberFormat="1" applyFont="1" applyFill="1" applyBorder="1" applyAlignment="1">
      <alignment horizontal="center"/>
    </xf>
    <xf numFmtId="164" fontId="3" fillId="14" borderId="10" xfId="0" applyNumberFormat="1" applyFont="1" applyFill="1" applyBorder="1"/>
    <xf numFmtId="2" fontId="3" fillId="14" borderId="9" xfId="0" applyNumberFormat="1" applyFont="1" applyFill="1" applyBorder="1" applyAlignment="1">
      <alignment horizontal="center"/>
    </xf>
    <xf numFmtId="164" fontId="3" fillId="14" borderId="10" xfId="0" applyNumberFormat="1" applyFont="1" applyFill="1" applyBorder="1" applyAlignment="1">
      <alignment horizontal="center"/>
    </xf>
    <xf numFmtId="164" fontId="3" fillId="14" borderId="5" xfId="0" applyNumberFormat="1" applyFont="1" applyFill="1" applyBorder="1" applyAlignment="1">
      <alignment horizontal="center"/>
    </xf>
    <xf numFmtId="9" fontId="3" fillId="14" borderId="3" xfId="0" applyNumberFormat="1" applyFont="1" applyFill="1" applyBorder="1" applyAlignment="1">
      <alignment horizontal="center"/>
    </xf>
    <xf numFmtId="1" fontId="3" fillId="14" borderId="2" xfId="0" applyNumberFormat="1" applyFont="1" applyFill="1" applyBorder="1" applyAlignment="1">
      <alignment horizontal="center"/>
    </xf>
    <xf numFmtId="9" fontId="3" fillId="14" borderId="9" xfId="0" applyNumberFormat="1" applyFont="1" applyFill="1" applyBorder="1" applyAlignment="1">
      <alignment horizontal="center"/>
    </xf>
    <xf numFmtId="1" fontId="3" fillId="14" borderId="10" xfId="0" applyNumberFormat="1" applyFont="1" applyFill="1" applyBorder="1" applyAlignment="1">
      <alignment horizontal="center"/>
    </xf>
    <xf numFmtId="9" fontId="3" fillId="14" borderId="6" xfId="0" applyNumberFormat="1" applyFont="1" applyFill="1" applyBorder="1" applyAlignment="1">
      <alignment horizontal="center"/>
    </xf>
    <xf numFmtId="1" fontId="3" fillId="14" borderId="5" xfId="0" applyNumberFormat="1" applyFont="1" applyFill="1" applyBorder="1" applyAlignment="1">
      <alignment horizontal="center"/>
    </xf>
    <xf numFmtId="2" fontId="3" fillId="14" borderId="6" xfId="0" applyNumberFormat="1" applyFont="1" applyFill="1" applyBorder="1" applyAlignment="1">
      <alignment horizontal="center"/>
    </xf>
    <xf numFmtId="0" fontId="3" fillId="14" borderId="8" xfId="0" applyFont="1" applyFill="1" applyBorder="1" applyAlignment="1">
      <alignment horizontal="center"/>
    </xf>
    <xf numFmtId="0" fontId="3" fillId="14" borderId="2" xfId="0" applyFont="1" applyFill="1" applyBorder="1" applyAlignment="1">
      <alignment horizontal="center"/>
    </xf>
    <xf numFmtId="0" fontId="3" fillId="14" borderId="10" xfId="0" applyFont="1" applyFill="1" applyBorder="1" applyAlignment="1">
      <alignment horizontal="center"/>
    </xf>
    <xf numFmtId="0" fontId="3" fillId="14" borderId="18" xfId="0" applyFont="1" applyFill="1" applyBorder="1" applyAlignment="1">
      <alignment horizontal="center"/>
    </xf>
    <xf numFmtId="0" fontId="3" fillId="14" borderId="5" xfId="0" applyFont="1" applyFill="1" applyBorder="1" applyAlignment="1">
      <alignment horizontal="center"/>
    </xf>
    <xf numFmtId="1" fontId="3" fillId="14" borderId="4" xfId="0" applyNumberFormat="1" applyFont="1" applyFill="1" applyBorder="1" applyAlignment="1">
      <alignment horizontal="center"/>
    </xf>
    <xf numFmtId="1" fontId="3" fillId="14" borderId="0" xfId="0" applyNumberFormat="1" applyFont="1" applyFill="1" applyBorder="1" applyAlignment="1">
      <alignment horizontal="center"/>
    </xf>
    <xf numFmtId="1" fontId="3" fillId="14" borderId="7" xfId="0" applyNumberFormat="1" applyFont="1" applyFill="1" applyBorder="1" applyAlignment="1">
      <alignment horizontal="center"/>
    </xf>
    <xf numFmtId="0" fontId="4" fillId="4" borderId="10" xfId="0" applyFont="1" applyFill="1" applyBorder="1" applyAlignment="1">
      <alignment horizontal="center"/>
    </xf>
    <xf numFmtId="0" fontId="4" fillId="4" borderId="2" xfId="0" applyFont="1" applyFill="1" applyBorder="1" applyAlignment="1">
      <alignment horizontal="center"/>
    </xf>
    <xf numFmtId="0" fontId="4" fillId="4" borderId="2" xfId="0" applyFont="1" applyFill="1" applyBorder="1" applyAlignment="1">
      <alignment horizontal="center" vertical="top" wrapText="1"/>
    </xf>
    <xf numFmtId="0" fontId="4" fillId="4" borderId="3" xfId="0" applyFont="1" applyFill="1" applyBorder="1" applyAlignment="1">
      <alignment horizontal="center"/>
    </xf>
    <xf numFmtId="0" fontId="4" fillId="4" borderId="1" xfId="0" applyFont="1" applyFill="1" applyBorder="1" applyAlignment="1">
      <alignment horizontal="center"/>
    </xf>
    <xf numFmtId="0" fontId="4" fillId="4" borderId="5" xfId="0" applyFont="1" applyFill="1" applyBorder="1" applyAlignment="1">
      <alignment horizontal="center"/>
    </xf>
    <xf numFmtId="0" fontId="4" fillId="4" borderId="5" xfId="0" applyFont="1" applyFill="1" applyBorder="1"/>
    <xf numFmtId="0" fontId="4" fillId="4" borderId="5" xfId="0" applyFont="1" applyFill="1" applyBorder="1" applyAlignment="1">
      <alignment horizontal="center" vertical="top" wrapText="1"/>
    </xf>
    <xf numFmtId="0" fontId="4" fillId="4" borderId="6" xfId="0" applyFont="1" applyFill="1" applyBorder="1" applyAlignment="1">
      <alignment horizontal="center"/>
    </xf>
    <xf numFmtId="0" fontId="4" fillId="4" borderId="29" xfId="0" applyFont="1" applyFill="1" applyBorder="1" applyAlignment="1">
      <alignment horizontal="center"/>
    </xf>
    <xf numFmtId="0" fontId="0" fillId="0" borderId="2" xfId="0" applyFill="1" applyBorder="1"/>
    <xf numFmtId="0" fontId="0" fillId="0" borderId="10" xfId="0" applyFill="1" applyBorder="1"/>
    <xf numFmtId="0" fontId="0" fillId="0" borderId="5" xfId="0" applyFill="1" applyBorder="1"/>
    <xf numFmtId="0" fontId="0" fillId="14" borderId="0" xfId="0" applyFill="1"/>
    <xf numFmtId="165" fontId="0" fillId="14" borderId="3" xfId="0" applyNumberFormat="1" applyFill="1" applyBorder="1"/>
    <xf numFmtId="0" fontId="39" fillId="0" borderId="9" xfId="0" applyFont="1" applyBorder="1" applyAlignment="1">
      <alignment horizontal="left" vertical="center" indent="4"/>
    </xf>
    <xf numFmtId="0" fontId="3" fillId="0" borderId="9" xfId="0" applyFont="1" applyFill="1" applyBorder="1"/>
    <xf numFmtId="0" fontId="6" fillId="0" borderId="9" xfId="0" applyFont="1" applyFill="1" applyBorder="1" applyAlignment="1">
      <alignment horizontal="center"/>
    </xf>
    <xf numFmtId="0" fontId="7" fillId="0" borderId="9" xfId="0" applyFont="1" applyFill="1" applyBorder="1" applyAlignment="1">
      <alignment horizontal="center"/>
    </xf>
    <xf numFmtId="2" fontId="3" fillId="0" borderId="9" xfId="0" applyNumberFormat="1" applyFont="1" applyFill="1" applyBorder="1" applyAlignment="1">
      <alignment horizontal="left"/>
    </xf>
    <xf numFmtId="0" fontId="4" fillId="4" borderId="0" xfId="0" applyFont="1" applyFill="1" applyAlignment="1">
      <alignment horizontal="right"/>
    </xf>
    <xf numFmtId="0" fontId="3" fillId="4" borderId="0" xfId="0" applyFont="1" applyFill="1"/>
    <xf numFmtId="0" fontId="3" fillId="4" borderId="0" xfId="0" applyFont="1" applyFill="1" applyBorder="1"/>
    <xf numFmtId="0" fontId="4" fillId="4" borderId="0" xfId="0" applyFont="1" applyFill="1" applyBorder="1" applyAlignment="1">
      <alignment horizontal="right"/>
    </xf>
    <xf numFmtId="0" fontId="4" fillId="4" borderId="0" xfId="0" applyFont="1" applyFill="1"/>
    <xf numFmtId="0" fontId="3" fillId="4" borderId="0" xfId="0" applyFont="1" applyFill="1" applyBorder="1" applyAlignment="1">
      <alignment horizontal="center"/>
    </xf>
    <xf numFmtId="0" fontId="3" fillId="4" borderId="7" xfId="0" applyFont="1" applyFill="1" applyBorder="1"/>
    <xf numFmtId="0" fontId="4" fillId="4" borderId="7" xfId="0" applyFont="1" applyFill="1" applyBorder="1" applyAlignment="1"/>
    <xf numFmtId="0" fontId="4" fillId="4" borderId="6" xfId="0" applyFont="1" applyFill="1" applyBorder="1" applyAlignment="1">
      <alignment horizontal="right"/>
    </xf>
    <xf numFmtId="0" fontId="19" fillId="12" borderId="0" xfId="0" applyFont="1" applyFill="1"/>
    <xf numFmtId="0" fontId="0" fillId="12" borderId="0" xfId="0" applyFill="1"/>
    <xf numFmtId="0" fontId="13" fillId="12" borderId="0" xfId="0" applyFont="1" applyFill="1"/>
    <xf numFmtId="0" fontId="19" fillId="12" borderId="8" xfId="0" applyFont="1" applyFill="1" applyBorder="1"/>
    <xf numFmtId="0" fontId="19" fillId="12" borderId="18" xfId="0" applyFont="1" applyFill="1" applyBorder="1"/>
    <xf numFmtId="0" fontId="13" fillId="12" borderId="30" xfId="0" applyFont="1" applyFill="1" applyBorder="1"/>
    <xf numFmtId="9" fontId="0" fillId="14" borderId="6" xfId="0" applyNumberFormat="1" applyFill="1" applyBorder="1"/>
    <xf numFmtId="0" fontId="0" fillId="12" borderId="4" xfId="0" applyFill="1" applyBorder="1"/>
    <xf numFmtId="0" fontId="0" fillId="12" borderId="3" xfId="0" applyFill="1" applyBorder="1"/>
    <xf numFmtId="0" fontId="0" fillId="12" borderId="0" xfId="0" applyFill="1" applyBorder="1"/>
    <xf numFmtId="0" fontId="0" fillId="12" borderId="9" xfId="0" applyFill="1" applyBorder="1"/>
    <xf numFmtId="0" fontId="0" fillId="12" borderId="7" xfId="0" applyFill="1" applyBorder="1"/>
    <xf numFmtId="0" fontId="0" fillId="12" borderId="6" xfId="0" applyFill="1" applyBorder="1"/>
    <xf numFmtId="0" fontId="27" fillId="12" borderId="34" xfId="0" applyFont="1" applyFill="1" applyBorder="1"/>
    <xf numFmtId="0" fontId="27" fillId="12" borderId="36" xfId="0" applyFont="1" applyFill="1" applyBorder="1"/>
    <xf numFmtId="0" fontId="26" fillId="12" borderId="38" xfId="0" applyFont="1" applyFill="1" applyBorder="1"/>
    <xf numFmtId="0" fontId="0" fillId="0" borderId="35" xfId="0" applyFill="1" applyBorder="1" applyAlignment="1">
      <alignment horizontal="center"/>
    </xf>
    <xf numFmtId="0" fontId="0" fillId="0" borderId="37" xfId="0" applyFill="1" applyBorder="1" applyAlignment="1">
      <alignment horizontal="center"/>
    </xf>
    <xf numFmtId="0" fontId="0" fillId="0" borderId="40" xfId="0" applyFill="1" applyBorder="1" applyAlignment="1">
      <alignment horizontal="center"/>
    </xf>
    <xf numFmtId="0" fontId="0" fillId="13" borderId="34" xfId="0" applyFill="1" applyBorder="1" applyAlignment="1">
      <alignment horizontal="center"/>
    </xf>
    <xf numFmtId="0" fontId="0" fillId="13" borderId="32" xfId="0" applyFill="1" applyBorder="1" applyAlignment="1">
      <alignment horizontal="center"/>
    </xf>
    <xf numFmtId="0" fontId="0" fillId="13" borderId="36" xfId="0" applyFill="1" applyBorder="1" applyAlignment="1">
      <alignment horizontal="center"/>
    </xf>
    <xf numFmtId="0" fontId="0" fillId="13" borderId="0" xfId="0" applyFill="1" applyBorder="1" applyAlignment="1">
      <alignment horizontal="center"/>
    </xf>
    <xf numFmtId="0" fontId="0" fillId="13" borderId="38" xfId="0" applyFill="1" applyBorder="1" applyAlignment="1">
      <alignment horizontal="center"/>
    </xf>
    <xf numFmtId="0" fontId="0" fillId="13" borderId="39" xfId="0" applyFill="1" applyBorder="1" applyAlignment="1">
      <alignment horizontal="center"/>
    </xf>
    <xf numFmtId="0" fontId="26" fillId="12" borderId="31" xfId="0" applyFont="1" applyFill="1" applyBorder="1" applyAlignment="1">
      <alignment horizontal="center" vertical="center" wrapText="1"/>
    </xf>
    <xf numFmtId="0" fontId="27" fillId="12" borderId="41" xfId="0" applyFont="1" applyFill="1" applyBorder="1" applyAlignment="1">
      <alignment horizontal="center" vertical="center" wrapText="1"/>
    </xf>
    <xf numFmtId="0" fontId="26" fillId="12" borderId="33" xfId="0" applyFont="1" applyFill="1" applyBorder="1" applyAlignment="1">
      <alignment horizontal="center" vertical="center" wrapText="1"/>
    </xf>
    <xf numFmtId="0" fontId="36" fillId="12" borderId="34" xfId="0" applyFont="1" applyFill="1" applyBorder="1"/>
    <xf numFmtId="0" fontId="19" fillId="12" borderId="35" xfId="0" applyFont="1" applyFill="1" applyBorder="1"/>
    <xf numFmtId="0" fontId="36" fillId="12" borderId="36" xfId="0" applyFont="1" applyFill="1" applyBorder="1"/>
    <xf numFmtId="0" fontId="0" fillId="12" borderId="37" xfId="0" applyFill="1" applyBorder="1" applyAlignment="1">
      <alignment vertical="center" wrapText="1"/>
    </xf>
    <xf numFmtId="0" fontId="1" fillId="12" borderId="36" xfId="0" applyFont="1" applyFill="1" applyBorder="1"/>
    <xf numFmtId="0" fontId="31" fillId="12" borderId="36" xfId="0" applyFont="1" applyFill="1" applyBorder="1"/>
    <xf numFmtId="0" fontId="19" fillId="12" borderId="37" xfId="0" applyFont="1" applyFill="1" applyBorder="1"/>
    <xf numFmtId="0" fontId="36" fillId="12" borderId="36" xfId="0" applyFont="1" applyFill="1" applyBorder="1" applyAlignment="1">
      <alignment wrapText="1"/>
    </xf>
    <xf numFmtId="0" fontId="19" fillId="12" borderId="38" xfId="0" applyFont="1" applyFill="1" applyBorder="1"/>
    <xf numFmtId="0" fontId="19" fillId="12" borderId="40" xfId="0" applyFont="1" applyFill="1" applyBorder="1"/>
    <xf numFmtId="0" fontId="19" fillId="0" borderId="0" xfId="0" applyFont="1" applyFill="1"/>
    <xf numFmtId="0" fontId="15" fillId="12" borderId="0" xfId="0" applyFont="1" applyFill="1"/>
    <xf numFmtId="0" fontId="14" fillId="12" borderId="0" xfId="0" applyFont="1" applyFill="1"/>
    <xf numFmtId="167" fontId="3" fillId="14" borderId="1" xfId="0" applyNumberFormat="1" applyFont="1" applyFill="1" applyBorder="1"/>
    <xf numFmtId="168" fontId="0" fillId="0" borderId="0" xfId="0" applyNumberFormat="1" applyAlignment="1">
      <alignment horizontal="left"/>
    </xf>
    <xf numFmtId="0" fontId="0" fillId="0" borderId="0" xfId="0" applyFill="1" applyAlignment="1">
      <alignment horizontal="left"/>
    </xf>
    <xf numFmtId="0" fontId="0" fillId="0" borderId="0" xfId="0" applyAlignment="1"/>
    <xf numFmtId="0" fontId="0" fillId="0" borderId="0" xfId="0" applyAlignment="1">
      <alignment horizontal="center"/>
    </xf>
    <xf numFmtId="0" fontId="13" fillId="12" borderId="49" xfId="0" applyFont="1" applyFill="1" applyBorder="1" applyAlignment="1" applyProtection="1">
      <alignment horizontal="left" vertical="center"/>
    </xf>
    <xf numFmtId="0" fontId="48" fillId="0" borderId="0" xfId="0" applyFont="1" applyFill="1" applyProtection="1"/>
    <xf numFmtId="0" fontId="19" fillId="0" borderId="0" xfId="0" applyFont="1" applyFill="1" applyProtection="1"/>
    <xf numFmtId="0" fontId="0" fillId="0" borderId="0" xfId="0" applyAlignment="1">
      <alignment horizontal="left"/>
    </xf>
    <xf numFmtId="0" fontId="0" fillId="0" borderId="0" xfId="0" applyAlignment="1">
      <alignment horizontal="center"/>
    </xf>
    <xf numFmtId="0" fontId="0" fillId="0" borderId="0" xfId="0" applyFill="1" applyBorder="1" applyAlignment="1" applyProtection="1">
      <alignment horizontal="left"/>
    </xf>
    <xf numFmtId="0" fontId="19" fillId="0" borderId="0" xfId="0" applyFont="1" applyFill="1" applyBorder="1" applyAlignment="1" applyProtection="1">
      <alignment horizontal="left" vertical="center"/>
    </xf>
    <xf numFmtId="0" fontId="19" fillId="0" borderId="0" xfId="0" applyFont="1" applyFill="1" applyBorder="1" applyAlignment="1" applyProtection="1">
      <alignment horizontal="center" vertical="center"/>
      <protection locked="0"/>
    </xf>
    <xf numFmtId="0" fontId="19" fillId="12" borderId="41" xfId="0" applyFont="1" applyFill="1" applyBorder="1"/>
    <xf numFmtId="0" fontId="0" fillId="12" borderId="43" xfId="0" applyFill="1" applyBorder="1"/>
    <xf numFmtId="0" fontId="0" fillId="12" borderId="45" xfId="0" applyFill="1" applyBorder="1"/>
    <xf numFmtId="0" fontId="0" fillId="0" borderId="39" xfId="0" applyBorder="1"/>
    <xf numFmtId="0" fontId="0" fillId="4" borderId="39" xfId="0" applyFill="1" applyBorder="1"/>
    <xf numFmtId="0" fontId="0" fillId="4" borderId="39" xfId="0" applyFill="1" applyBorder="1" applyAlignment="1">
      <alignment horizontal="center"/>
    </xf>
    <xf numFmtId="0" fontId="13" fillId="4" borderId="62" xfId="0" applyFont="1" applyFill="1" applyBorder="1" applyAlignment="1"/>
    <xf numFmtId="0" fontId="3" fillId="0" borderId="36" xfId="0" applyFont="1" applyFill="1" applyBorder="1"/>
    <xf numFmtId="166" fontId="3" fillId="0" borderId="0" xfId="0" applyNumberFormat="1" applyFont="1" applyFill="1" applyBorder="1"/>
    <xf numFmtId="0" fontId="19" fillId="8" borderId="65" xfId="0" applyFont="1" applyFill="1" applyBorder="1" applyAlignment="1" applyProtection="1">
      <alignment horizontal="left"/>
    </xf>
    <xf numFmtId="0" fontId="0" fillId="8" borderId="57" xfId="0" applyFill="1" applyBorder="1" applyAlignment="1" applyProtection="1">
      <alignment horizontal="left"/>
    </xf>
    <xf numFmtId="0" fontId="19" fillId="8" borderId="66" xfId="0" applyFont="1" applyFill="1" applyBorder="1" applyAlignment="1" applyProtection="1">
      <alignment horizontal="left"/>
    </xf>
    <xf numFmtId="0" fontId="0" fillId="8" borderId="48" xfId="0" applyFill="1" applyBorder="1" applyAlignment="1" applyProtection="1">
      <alignment horizontal="left"/>
    </xf>
    <xf numFmtId="0" fontId="0" fillId="12" borderId="63" xfId="0" applyFill="1" applyBorder="1"/>
    <xf numFmtId="0" fontId="13" fillId="12" borderId="63" xfId="0" applyFont="1" applyFill="1" applyBorder="1"/>
    <xf numFmtId="0" fontId="0" fillId="12" borderId="41" xfId="0" applyFill="1" applyBorder="1"/>
    <xf numFmtId="0" fontId="19" fillId="4" borderId="38" xfId="0" applyFont="1" applyFill="1" applyBorder="1"/>
    <xf numFmtId="0" fontId="0" fillId="4" borderId="40" xfId="0" applyFill="1" applyBorder="1"/>
    <xf numFmtId="0" fontId="4" fillId="4" borderId="34" xfId="0" applyFont="1" applyFill="1" applyBorder="1" applyAlignment="1">
      <alignment horizontal="left"/>
    </xf>
    <xf numFmtId="0" fontId="3" fillId="4" borderId="32" xfId="0" applyFont="1" applyFill="1" applyBorder="1"/>
    <xf numFmtId="0" fontId="0" fillId="4" borderId="35" xfId="0" applyFill="1" applyBorder="1"/>
    <xf numFmtId="0" fontId="0" fillId="0" borderId="8" xfId="0" applyBorder="1"/>
    <xf numFmtId="0" fontId="0" fillId="0" borderId="0" xfId="0" applyBorder="1"/>
    <xf numFmtId="0" fontId="19" fillId="0" borderId="0" xfId="0" applyFont="1" applyFill="1" applyBorder="1"/>
    <xf numFmtId="0" fontId="0" fillId="0" borderId="9" xfId="0" applyBorder="1"/>
    <xf numFmtId="0" fontId="0" fillId="0" borderId="18" xfId="0" applyBorder="1"/>
    <xf numFmtId="0" fontId="0" fillId="0" borderId="7" xfId="0" applyBorder="1"/>
    <xf numFmtId="0" fontId="0" fillId="0" borderId="6" xfId="0" applyBorder="1"/>
    <xf numFmtId="0" fontId="19" fillId="13" borderId="1" xfId="0" applyFont="1" applyFill="1" applyBorder="1" applyAlignment="1" applyProtection="1">
      <alignment horizontal="center"/>
    </xf>
    <xf numFmtId="0" fontId="0" fillId="4" borderId="39" xfId="0" applyFill="1" applyBorder="1" applyAlignment="1">
      <alignment horizontal="center"/>
    </xf>
    <xf numFmtId="0" fontId="0" fillId="0" borderId="37" xfId="0" applyBorder="1"/>
    <xf numFmtId="0" fontId="0" fillId="4" borderId="1" xfId="0" applyFill="1" applyBorder="1"/>
    <xf numFmtId="0" fontId="13" fillId="4" borderId="1" xfId="0" applyFont="1" applyFill="1" applyBorder="1"/>
    <xf numFmtId="0" fontId="19" fillId="4" borderId="1" xfId="0" applyFont="1" applyFill="1" applyBorder="1"/>
    <xf numFmtId="0" fontId="19" fillId="4" borderId="19" xfId="0" applyFont="1" applyFill="1" applyBorder="1"/>
    <xf numFmtId="0" fontId="0" fillId="4" borderId="65" xfId="0" applyFill="1" applyBorder="1"/>
    <xf numFmtId="0" fontId="13" fillId="4" borderId="57" xfId="0" applyFont="1" applyFill="1" applyBorder="1"/>
    <xf numFmtId="0" fontId="0" fillId="4" borderId="67" xfId="0" applyFill="1" applyBorder="1"/>
    <xf numFmtId="0" fontId="0" fillId="4" borderId="66" xfId="0" applyFill="1" applyBorder="1"/>
    <xf numFmtId="0" fontId="19" fillId="4" borderId="64" xfId="0" applyFont="1" applyFill="1" applyBorder="1"/>
    <xf numFmtId="0" fontId="13" fillId="4" borderId="49" xfId="0" applyFont="1" applyFill="1" applyBorder="1"/>
    <xf numFmtId="0" fontId="13" fillId="4" borderId="50" xfId="0" applyFont="1" applyFill="1" applyBorder="1"/>
    <xf numFmtId="0" fontId="0" fillId="4" borderId="51" xfId="0" applyFill="1" applyBorder="1"/>
    <xf numFmtId="0" fontId="0" fillId="15" borderId="1" xfId="0" applyFill="1" applyBorder="1"/>
    <xf numFmtId="0" fontId="0" fillId="4" borderId="1" xfId="0" applyFill="1" applyBorder="1" applyAlignment="1">
      <alignment horizontal="center"/>
    </xf>
    <xf numFmtId="0" fontId="19" fillId="4" borderId="1" xfId="0" applyFont="1" applyFill="1" applyBorder="1" applyAlignment="1">
      <alignment horizontal="center"/>
    </xf>
    <xf numFmtId="0" fontId="0" fillId="4" borderId="70" xfId="0" applyFill="1" applyBorder="1"/>
    <xf numFmtId="0" fontId="0" fillId="4" borderId="5" xfId="0" applyFill="1" applyBorder="1"/>
    <xf numFmtId="0" fontId="0" fillId="4" borderId="5" xfId="0" applyFill="1" applyBorder="1" applyAlignment="1">
      <alignment horizontal="center"/>
    </xf>
    <xf numFmtId="0" fontId="0" fillId="4" borderId="18" xfId="0" applyFill="1" applyBorder="1" applyAlignment="1">
      <alignment horizontal="center"/>
    </xf>
    <xf numFmtId="0" fontId="19" fillId="4" borderId="41" xfId="0" applyFont="1" applyFill="1" applyBorder="1"/>
    <xf numFmtId="0" fontId="0" fillId="4" borderId="45" xfId="0" applyFill="1" applyBorder="1"/>
    <xf numFmtId="0" fontId="13" fillId="4" borderId="41" xfId="0" applyFont="1" applyFill="1" applyBorder="1"/>
    <xf numFmtId="0" fontId="13" fillId="4" borderId="43" xfId="0" applyFont="1" applyFill="1" applyBorder="1"/>
    <xf numFmtId="0" fontId="0" fillId="4" borderId="43" xfId="0" applyFill="1" applyBorder="1" applyAlignment="1">
      <alignment horizontal="right"/>
    </xf>
    <xf numFmtId="0" fontId="0" fillId="4" borderId="45" xfId="0" applyFill="1" applyBorder="1" applyAlignment="1">
      <alignment horizontal="center"/>
    </xf>
    <xf numFmtId="0" fontId="0" fillId="18" borderId="0" xfId="0" applyFill="1" applyBorder="1"/>
    <xf numFmtId="0" fontId="0" fillId="18" borderId="37" xfId="0" applyFill="1" applyBorder="1"/>
    <xf numFmtId="0" fontId="0" fillId="18" borderId="39" xfId="0" applyFill="1" applyBorder="1"/>
    <xf numFmtId="0" fontId="0" fillId="18" borderId="40" xfId="0" applyFill="1" applyBorder="1"/>
    <xf numFmtId="0" fontId="0" fillId="18" borderId="19" xfId="0" applyFill="1" applyBorder="1" applyAlignment="1">
      <alignment horizontal="left"/>
    </xf>
    <xf numFmtId="0" fontId="0" fillId="18" borderId="42" xfId="0" applyFill="1" applyBorder="1" applyAlignment="1">
      <alignment horizontal="left"/>
    </xf>
    <xf numFmtId="0" fontId="0" fillId="18" borderId="62" xfId="0" applyFill="1" applyBorder="1" applyAlignment="1">
      <alignment horizontal="left"/>
    </xf>
    <xf numFmtId="0" fontId="0" fillId="18" borderId="40" xfId="0" applyFill="1" applyBorder="1" applyAlignment="1">
      <alignment horizontal="left"/>
    </xf>
    <xf numFmtId="0" fontId="0" fillId="18" borderId="55" xfId="0" applyFill="1" applyBorder="1" applyAlignment="1">
      <alignment horizontal="left"/>
    </xf>
    <xf numFmtId="0" fontId="0" fillId="18" borderId="38" xfId="0" applyFill="1" applyBorder="1"/>
    <xf numFmtId="0" fontId="0" fillId="18" borderId="5" xfId="0" applyFill="1" applyBorder="1"/>
    <xf numFmtId="167" fontId="0" fillId="18" borderId="1" xfId="0" applyNumberFormat="1" applyFill="1" applyBorder="1"/>
    <xf numFmtId="165" fontId="19" fillId="18" borderId="1" xfId="0" applyNumberFormat="1" applyFont="1" applyFill="1" applyBorder="1" applyAlignment="1">
      <alignment horizontal="right"/>
    </xf>
    <xf numFmtId="165" fontId="0" fillId="18" borderId="1" xfId="0" applyNumberFormat="1" applyFill="1" applyBorder="1"/>
    <xf numFmtId="0" fontId="0" fillId="18" borderId="1" xfId="0" applyFill="1" applyBorder="1" applyAlignment="1">
      <alignment horizontal="right"/>
    </xf>
    <xf numFmtId="0" fontId="0" fillId="18" borderId="18" xfId="0" applyFill="1" applyBorder="1"/>
    <xf numFmtId="0" fontId="0" fillId="18" borderId="7" xfId="0" applyFill="1" applyBorder="1"/>
    <xf numFmtId="0" fontId="0" fillId="18" borderId="6" xfId="0" applyFill="1" applyBorder="1"/>
    <xf numFmtId="0" fontId="0" fillId="18" borderId="30" xfId="0" applyFill="1" applyBorder="1"/>
    <xf numFmtId="0" fontId="0" fillId="18" borderId="4" xfId="0" applyFill="1" applyBorder="1"/>
    <xf numFmtId="0" fontId="0" fillId="18" borderId="3" xfId="0" applyFill="1" applyBorder="1"/>
    <xf numFmtId="0" fontId="0" fillId="18" borderId="19" xfId="0" applyFill="1" applyBorder="1"/>
    <xf numFmtId="0" fontId="0" fillId="18" borderId="28" xfId="0" applyFill="1" applyBorder="1"/>
    <xf numFmtId="0" fontId="0" fillId="18" borderId="29" xfId="0" applyFill="1" applyBorder="1"/>
    <xf numFmtId="0" fontId="11" fillId="18" borderId="0" xfId="1" applyFill="1" applyAlignment="1" applyProtection="1"/>
    <xf numFmtId="0" fontId="0" fillId="18" borderId="0" xfId="0" applyFill="1"/>
    <xf numFmtId="0" fontId="0" fillId="14" borderId="34" xfId="0" applyFill="1" applyBorder="1"/>
    <xf numFmtId="0" fontId="0" fillId="14" borderId="35" xfId="0" applyFill="1" applyBorder="1"/>
    <xf numFmtId="0" fontId="0" fillId="14" borderId="36" xfId="0" applyFill="1" applyBorder="1"/>
    <xf numFmtId="0" fontId="0" fillId="14" borderId="37" xfId="0" applyFill="1" applyBorder="1"/>
    <xf numFmtId="0" fontId="0" fillId="14" borderId="38" xfId="0" applyFill="1" applyBorder="1"/>
    <xf numFmtId="0" fontId="0" fillId="14" borderId="40" xfId="0" applyFill="1" applyBorder="1"/>
    <xf numFmtId="0" fontId="0" fillId="0" borderId="1" xfId="0" applyFill="1" applyBorder="1"/>
    <xf numFmtId="2" fontId="3" fillId="0" borderId="9" xfId="0" applyNumberFormat="1" applyFont="1" applyFill="1" applyBorder="1" applyAlignment="1" applyProtection="1">
      <alignment horizontal="center" wrapText="1"/>
      <protection locked="0"/>
    </xf>
    <xf numFmtId="0" fontId="0" fillId="0" borderId="36" xfId="0" applyBorder="1"/>
    <xf numFmtId="2" fontId="3" fillId="0" borderId="10" xfId="0" applyNumberFormat="1" applyFont="1" applyFill="1" applyBorder="1" applyAlignment="1">
      <alignment horizontal="center"/>
    </xf>
    <xf numFmtId="2" fontId="3" fillId="0" borderId="5" xfId="0" applyNumberFormat="1" applyFont="1" applyFill="1" applyBorder="1" applyAlignment="1">
      <alignment horizontal="center"/>
    </xf>
    <xf numFmtId="2" fontId="3" fillId="0" borderId="2" xfId="0" applyNumberFormat="1" applyFont="1" applyFill="1" applyBorder="1" applyAlignment="1" applyProtection="1">
      <alignment horizontal="center"/>
      <protection locked="0"/>
    </xf>
    <xf numFmtId="2" fontId="3" fillId="0" borderId="9" xfId="0" applyNumberFormat="1" applyFont="1" applyFill="1" applyBorder="1" applyAlignment="1" applyProtection="1">
      <alignment horizontal="center"/>
      <protection locked="0"/>
    </xf>
    <xf numFmtId="2" fontId="3" fillId="0" borderId="10" xfId="0" applyNumberFormat="1" applyFont="1" applyFill="1" applyBorder="1" applyAlignment="1">
      <alignment horizontal="center"/>
    </xf>
    <xf numFmtId="2" fontId="3" fillId="0" borderId="2" xfId="0" applyNumberFormat="1" applyFont="1" applyFill="1" applyBorder="1" applyAlignment="1" applyProtection="1">
      <alignment horizontal="center"/>
      <protection locked="0"/>
    </xf>
    <xf numFmtId="0" fontId="0" fillId="0" borderId="0" xfId="0" applyBorder="1"/>
    <xf numFmtId="0" fontId="0" fillId="0" borderId="37" xfId="0" applyBorder="1"/>
    <xf numFmtId="0" fontId="0" fillId="18" borderId="34" xfId="0" applyFill="1" applyBorder="1"/>
    <xf numFmtId="0" fontId="0" fillId="18" borderId="32" xfId="0" applyFill="1" applyBorder="1"/>
    <xf numFmtId="0" fontId="0" fillId="18" borderId="35" xfId="0" applyFill="1" applyBorder="1"/>
    <xf numFmtId="0" fontId="0" fillId="18" borderId="36" xfId="0" applyFill="1" applyBorder="1"/>
    <xf numFmtId="0" fontId="0" fillId="18" borderId="0" xfId="0" applyFill="1" applyBorder="1"/>
    <xf numFmtId="0" fontId="0" fillId="18" borderId="37" xfId="0" applyFill="1" applyBorder="1"/>
    <xf numFmtId="0" fontId="19" fillId="18" borderId="36" xfId="0" applyFont="1" applyFill="1" applyBorder="1"/>
    <xf numFmtId="0" fontId="0" fillId="18" borderId="36" xfId="0" applyFont="1" applyFill="1" applyBorder="1"/>
    <xf numFmtId="0" fontId="0" fillId="18" borderId="39" xfId="0" applyFill="1" applyBorder="1"/>
    <xf numFmtId="0" fontId="0" fillId="18" borderId="40" xfId="0" applyFill="1" applyBorder="1"/>
    <xf numFmtId="0" fontId="0" fillId="18" borderId="38" xfId="0" applyFill="1" applyBorder="1"/>
    <xf numFmtId="0" fontId="43" fillId="7" borderId="34" xfId="0" applyFont="1" applyFill="1" applyBorder="1" applyAlignment="1" applyProtection="1">
      <alignment horizontal="left" vertical="center"/>
    </xf>
    <xf numFmtId="0" fontId="43" fillId="7" borderId="32" xfId="0" applyFont="1" applyFill="1" applyBorder="1" applyAlignment="1" applyProtection="1">
      <alignment horizontal="left" vertical="center"/>
    </xf>
    <xf numFmtId="0" fontId="43" fillId="7" borderId="35" xfId="0" applyFont="1" applyFill="1" applyBorder="1" applyAlignment="1" applyProtection="1">
      <alignment horizontal="left" vertical="center"/>
    </xf>
    <xf numFmtId="0" fontId="43" fillId="7" borderId="38" xfId="0" applyFont="1" applyFill="1" applyBorder="1" applyAlignment="1" applyProtection="1">
      <alignment horizontal="left" vertical="center"/>
    </xf>
    <xf numFmtId="0" fontId="43" fillId="7" borderId="39" xfId="0" applyFont="1" applyFill="1" applyBorder="1" applyAlignment="1" applyProtection="1">
      <alignment horizontal="left" vertical="center"/>
    </xf>
    <xf numFmtId="0" fontId="43" fillId="7" borderId="40" xfId="0" applyFont="1" applyFill="1" applyBorder="1" applyAlignment="1" applyProtection="1">
      <alignment horizontal="left" vertical="center"/>
    </xf>
    <xf numFmtId="0" fontId="0" fillId="6" borderId="34" xfId="0" applyFill="1" applyBorder="1" applyAlignment="1" applyProtection="1">
      <alignment horizontal="center"/>
    </xf>
    <xf numFmtId="0" fontId="0" fillId="6" borderId="35" xfId="0" applyFill="1" applyBorder="1" applyAlignment="1" applyProtection="1">
      <alignment horizontal="center"/>
    </xf>
    <xf numFmtId="0" fontId="0" fillId="6" borderId="36" xfId="0" applyFill="1" applyBorder="1" applyAlignment="1" applyProtection="1">
      <alignment horizontal="center"/>
    </xf>
    <xf numFmtId="0" fontId="0" fillId="6" borderId="37" xfId="0" applyFill="1" applyBorder="1" applyAlignment="1" applyProtection="1">
      <alignment horizontal="center"/>
    </xf>
    <xf numFmtId="0" fontId="0" fillId="6" borderId="38" xfId="0" applyFill="1" applyBorder="1" applyAlignment="1" applyProtection="1">
      <alignment horizontal="center"/>
    </xf>
    <xf numFmtId="0" fontId="0" fillId="6" borderId="40" xfId="0" applyFill="1" applyBorder="1" applyAlignment="1" applyProtection="1">
      <alignment horizontal="center"/>
    </xf>
    <xf numFmtId="0" fontId="20" fillId="2" borderId="34" xfId="0" applyNumberFormat="1" applyFont="1" applyFill="1" applyBorder="1" applyAlignment="1" applyProtection="1">
      <alignment horizontal="center" vertical="center"/>
    </xf>
    <xf numFmtId="0" fontId="20" fillId="2" borderId="32" xfId="0" applyNumberFormat="1" applyFont="1" applyFill="1" applyBorder="1" applyAlignment="1" applyProtection="1">
      <alignment horizontal="center" vertical="center"/>
    </xf>
    <xf numFmtId="0" fontId="20" fillId="2" borderId="36" xfId="0" applyNumberFormat="1" applyFont="1" applyFill="1" applyBorder="1" applyAlignment="1" applyProtection="1">
      <alignment horizontal="center" vertical="center"/>
    </xf>
    <xf numFmtId="0" fontId="20" fillId="2" borderId="0" xfId="0" applyNumberFormat="1" applyFont="1" applyFill="1" applyBorder="1" applyAlignment="1" applyProtection="1">
      <alignment horizontal="center" vertical="center"/>
    </xf>
    <xf numFmtId="0" fontId="20" fillId="2" borderId="38" xfId="0" applyNumberFormat="1" applyFont="1" applyFill="1" applyBorder="1" applyAlignment="1" applyProtection="1">
      <alignment horizontal="center" vertical="center"/>
    </xf>
    <xf numFmtId="0" fontId="20" fillId="2" borderId="39" xfId="0" applyNumberFormat="1" applyFont="1" applyFill="1" applyBorder="1" applyAlignment="1" applyProtection="1">
      <alignment horizontal="center" vertical="center"/>
    </xf>
    <xf numFmtId="0" fontId="45" fillId="2" borderId="32" xfId="0" applyNumberFormat="1" applyFont="1" applyFill="1" applyBorder="1" applyAlignment="1" applyProtection="1">
      <alignment horizontal="left"/>
    </xf>
    <xf numFmtId="0" fontId="45" fillId="2" borderId="35" xfId="0" applyNumberFormat="1" applyFont="1" applyFill="1" applyBorder="1" applyAlignment="1" applyProtection="1">
      <alignment horizontal="left"/>
    </xf>
    <xf numFmtId="0" fontId="45" fillId="2" borderId="0" xfId="0" applyNumberFormat="1" applyFont="1" applyFill="1" applyBorder="1" applyAlignment="1" applyProtection="1">
      <alignment horizontal="left"/>
    </xf>
    <xf numFmtId="0" fontId="45" fillId="2" borderId="37" xfId="0" applyNumberFormat="1" applyFont="1" applyFill="1" applyBorder="1" applyAlignment="1" applyProtection="1">
      <alignment horizontal="left"/>
    </xf>
    <xf numFmtId="0" fontId="25" fillId="0" borderId="34" xfId="0" applyFont="1" applyFill="1" applyBorder="1" applyAlignment="1" applyProtection="1">
      <alignment horizontal="center" vertical="center"/>
    </xf>
    <xf numFmtId="0" fontId="25" fillId="0" borderId="32" xfId="0" applyFont="1" applyFill="1" applyBorder="1" applyAlignment="1" applyProtection="1">
      <alignment horizontal="center" vertical="center"/>
    </xf>
    <xf numFmtId="0" fontId="25" fillId="0" borderId="35" xfId="0" applyFont="1" applyFill="1" applyBorder="1" applyAlignment="1" applyProtection="1">
      <alignment horizontal="center" vertical="center"/>
    </xf>
    <xf numFmtId="0" fontId="25" fillId="0" borderId="36" xfId="0" applyFont="1" applyFill="1" applyBorder="1" applyAlignment="1" applyProtection="1">
      <alignment horizontal="center" vertical="center"/>
    </xf>
    <xf numFmtId="0" fontId="25" fillId="0" borderId="0" xfId="0" applyFont="1" applyFill="1" applyBorder="1" applyAlignment="1" applyProtection="1">
      <alignment horizontal="center" vertical="center"/>
    </xf>
    <xf numFmtId="0" fontId="25" fillId="0" borderId="37" xfId="0" applyFont="1" applyFill="1" applyBorder="1" applyAlignment="1" applyProtection="1">
      <alignment horizontal="center" vertical="center"/>
    </xf>
    <xf numFmtId="0" fontId="46" fillId="2" borderId="39" xfId="0" applyNumberFormat="1" applyFont="1" applyFill="1" applyBorder="1" applyAlignment="1" applyProtection="1">
      <alignment horizontal="left" vertical="center"/>
    </xf>
    <xf numFmtId="0" fontId="46" fillId="2" borderId="40" xfId="0" applyNumberFormat="1" applyFont="1" applyFill="1" applyBorder="1" applyAlignment="1" applyProtection="1">
      <alignment horizontal="left" vertical="center"/>
    </xf>
    <xf numFmtId="0" fontId="15" fillId="0" borderId="38" xfId="0" applyFont="1" applyFill="1" applyBorder="1" applyAlignment="1" applyProtection="1">
      <alignment horizontal="center" vertical="center"/>
    </xf>
    <xf numFmtId="0" fontId="15" fillId="0" borderId="39" xfId="0" applyFont="1" applyFill="1" applyBorder="1" applyAlignment="1" applyProtection="1">
      <alignment horizontal="center" vertical="center"/>
    </xf>
    <xf numFmtId="0" fontId="15" fillId="0" borderId="40" xfId="0" applyFont="1" applyFill="1" applyBorder="1" applyAlignment="1" applyProtection="1">
      <alignment horizontal="center" vertical="center"/>
    </xf>
    <xf numFmtId="0" fontId="25" fillId="2" borderId="36" xfId="0" applyFont="1" applyFill="1" applyBorder="1" applyAlignment="1" applyProtection="1">
      <alignment horizontal="left" vertical="center" indent="4"/>
    </xf>
    <xf numFmtId="0" fontId="25" fillId="2" borderId="0" xfId="0" applyFont="1" applyFill="1" applyBorder="1" applyAlignment="1" applyProtection="1">
      <alignment horizontal="left" vertical="center" indent="4"/>
    </xf>
    <xf numFmtId="0" fontId="25" fillId="2" borderId="37" xfId="0" applyFont="1" applyFill="1" applyBorder="1" applyAlignment="1" applyProtection="1">
      <alignment horizontal="left" vertical="center" indent="4"/>
    </xf>
    <xf numFmtId="0" fontId="25" fillId="2" borderId="38" xfId="0" applyFont="1" applyFill="1" applyBorder="1" applyAlignment="1" applyProtection="1">
      <alignment horizontal="left" vertical="center" indent="4"/>
    </xf>
    <xf numFmtId="0" fontId="25" fillId="2" borderId="39" xfId="0" applyFont="1" applyFill="1" applyBorder="1" applyAlignment="1" applyProtection="1">
      <alignment horizontal="left" vertical="center" indent="4"/>
    </xf>
    <xf numFmtId="0" fontId="25" fillId="2" borderId="40" xfId="0" applyFont="1" applyFill="1" applyBorder="1" applyAlignment="1" applyProtection="1">
      <alignment horizontal="left" vertical="center" indent="4"/>
    </xf>
    <xf numFmtId="0" fontId="31" fillId="0" borderId="43" xfId="0" applyFont="1" applyFill="1" applyBorder="1" applyAlignment="1" applyProtection="1">
      <alignment horizontal="left" vertical="center" indent="1"/>
    </xf>
    <xf numFmtId="0" fontId="31" fillId="0" borderId="59" xfId="0" applyFont="1" applyFill="1" applyBorder="1" applyAlignment="1" applyProtection="1">
      <alignment horizontal="left" vertical="center" indent="1"/>
    </xf>
    <xf numFmtId="168" fontId="0" fillId="11" borderId="60" xfId="0" applyNumberFormat="1" applyFill="1" applyBorder="1" applyAlignment="1">
      <alignment horizontal="center"/>
    </xf>
    <xf numFmtId="168" fontId="0" fillId="11" borderId="43" xfId="0" applyNumberFormat="1" applyFill="1" applyBorder="1" applyAlignment="1">
      <alignment horizontal="center"/>
    </xf>
    <xf numFmtId="168" fontId="0" fillId="11" borderId="45" xfId="0" applyNumberFormat="1" applyFill="1" applyBorder="1" applyAlignment="1">
      <alignment horizontal="center"/>
    </xf>
    <xf numFmtId="0" fontId="15" fillId="2" borderId="34" xfId="0" applyFont="1" applyFill="1" applyBorder="1" applyAlignment="1" applyProtection="1">
      <alignment horizontal="left" vertical="center" indent="4"/>
    </xf>
    <xf numFmtId="0" fontId="15" fillId="2" borderId="32" xfId="0" applyFont="1" applyFill="1" applyBorder="1" applyAlignment="1" applyProtection="1">
      <alignment horizontal="left" vertical="center" indent="4"/>
    </xf>
    <xf numFmtId="0" fontId="15" fillId="2" borderId="35" xfId="0" applyFont="1" applyFill="1" applyBorder="1" applyAlignment="1" applyProtection="1">
      <alignment horizontal="left" vertical="center" indent="4"/>
    </xf>
    <xf numFmtId="0" fontId="31" fillId="0" borderId="41" xfId="0" applyFont="1" applyFill="1" applyBorder="1" applyAlignment="1" applyProtection="1">
      <alignment horizontal="left" vertical="center" indent="1"/>
    </xf>
    <xf numFmtId="14" fontId="0" fillId="11" borderId="43" xfId="0" applyNumberFormat="1" applyFill="1" applyBorder="1" applyAlignment="1" applyProtection="1">
      <alignment horizontal="left" vertical="center" indent="2"/>
    </xf>
    <xf numFmtId="14" fontId="0" fillId="11" borderId="45" xfId="0" applyNumberFormat="1" applyFill="1" applyBorder="1" applyAlignment="1" applyProtection="1">
      <alignment horizontal="left" vertical="center" indent="2"/>
    </xf>
    <xf numFmtId="0" fontId="31" fillId="11" borderId="41" xfId="0" applyFont="1" applyFill="1" applyBorder="1" applyAlignment="1" applyProtection="1">
      <alignment horizontal="left" vertical="center" indent="1"/>
    </xf>
    <xf numFmtId="0" fontId="31" fillId="11" borderId="43" xfId="0" applyFont="1" applyFill="1" applyBorder="1" applyAlignment="1" applyProtection="1">
      <alignment horizontal="left" vertical="center" indent="1"/>
    </xf>
    <xf numFmtId="0" fontId="31" fillId="11" borderId="59" xfId="0" applyFont="1" applyFill="1" applyBorder="1" applyAlignment="1" applyProtection="1">
      <alignment horizontal="left" vertical="center" indent="1"/>
    </xf>
    <xf numFmtId="0" fontId="19" fillId="11" borderId="43" xfId="0" applyFont="1" applyFill="1" applyBorder="1" applyAlignment="1" applyProtection="1">
      <alignment horizontal="left" vertical="center" indent="1"/>
    </xf>
    <xf numFmtId="0" fontId="19" fillId="11" borderId="45" xfId="0" applyFont="1" applyFill="1" applyBorder="1" applyAlignment="1" applyProtection="1">
      <alignment horizontal="left" vertical="center" indent="1"/>
    </xf>
    <xf numFmtId="0" fontId="31" fillId="17" borderId="41" xfId="0" applyFont="1" applyFill="1" applyBorder="1" applyAlignment="1" applyProtection="1">
      <alignment horizontal="left" vertical="center"/>
    </xf>
    <xf numFmtId="0" fontId="31" fillId="17" borderId="59" xfId="0" applyFont="1" applyFill="1" applyBorder="1" applyAlignment="1" applyProtection="1">
      <alignment horizontal="left" vertical="center"/>
    </xf>
    <xf numFmtId="0" fontId="19" fillId="17" borderId="43" xfId="0" applyNumberFormat="1" applyFont="1" applyFill="1" applyBorder="1" applyAlignment="1" applyProtection="1">
      <alignment horizontal="left" vertical="center" indent="1"/>
    </xf>
    <xf numFmtId="0" fontId="19" fillId="17" borderId="45" xfId="0" applyNumberFormat="1" applyFont="1" applyFill="1" applyBorder="1" applyAlignment="1" applyProtection="1">
      <alignment horizontal="left" vertical="center" indent="1"/>
    </xf>
    <xf numFmtId="0" fontId="19" fillId="9" borderId="57" xfId="0" applyFont="1" applyFill="1" applyBorder="1" applyAlignment="1" applyProtection="1">
      <alignment horizontal="center" vertical="center"/>
      <protection locked="0"/>
    </xf>
    <xf numFmtId="0" fontId="19" fillId="9" borderId="58" xfId="0" applyFont="1" applyFill="1" applyBorder="1" applyAlignment="1" applyProtection="1">
      <alignment horizontal="center" vertical="center"/>
      <protection locked="0"/>
    </xf>
    <xf numFmtId="0" fontId="41" fillId="9" borderId="57" xfId="0" applyFont="1" applyFill="1" applyBorder="1" applyAlignment="1" applyProtection="1">
      <alignment horizontal="center" vertical="center"/>
      <protection locked="0"/>
    </xf>
    <xf numFmtId="0" fontId="41" fillId="9" borderId="58" xfId="0" applyFont="1" applyFill="1" applyBorder="1" applyAlignment="1" applyProtection="1">
      <alignment horizontal="center" vertical="center"/>
      <protection locked="0"/>
    </xf>
    <xf numFmtId="14" fontId="41" fillId="9" borderId="19" xfId="0" applyNumberFormat="1" applyFont="1" applyFill="1" applyBorder="1" applyAlignment="1" applyProtection="1">
      <alignment horizontal="center" vertical="center"/>
      <protection locked="0"/>
    </xf>
    <xf numFmtId="0" fontId="41" fillId="9" borderId="28" xfId="0" applyFont="1" applyFill="1" applyBorder="1" applyAlignment="1" applyProtection="1">
      <alignment horizontal="center" vertical="center"/>
      <protection locked="0"/>
    </xf>
    <xf numFmtId="0" fontId="41" fillId="9" borderId="42" xfId="0" applyFont="1" applyFill="1" applyBorder="1" applyAlignment="1" applyProtection="1">
      <alignment horizontal="center" vertical="center"/>
      <protection locked="0"/>
    </xf>
    <xf numFmtId="0" fontId="19" fillId="8" borderId="41" xfId="0" applyFont="1" applyFill="1" applyBorder="1" applyAlignment="1" applyProtection="1">
      <alignment horizontal="center" vertical="center"/>
    </xf>
    <xf numFmtId="0" fontId="19" fillId="8" borderId="43" xfId="0" applyFont="1" applyFill="1" applyBorder="1" applyAlignment="1" applyProtection="1">
      <alignment horizontal="center" vertical="center"/>
    </xf>
    <xf numFmtId="0" fontId="19" fillId="8" borderId="59" xfId="0" applyFont="1" applyFill="1" applyBorder="1" applyAlignment="1" applyProtection="1">
      <alignment horizontal="center" vertical="center"/>
    </xf>
    <xf numFmtId="167" fontId="19" fillId="8" borderId="60" xfId="0" applyNumberFormat="1" applyFont="1" applyFill="1" applyBorder="1" applyAlignment="1" applyProtection="1">
      <alignment horizontal="center" vertical="center"/>
    </xf>
    <xf numFmtId="167" fontId="19" fillId="8" borderId="45" xfId="0" applyNumberFormat="1" applyFont="1" applyFill="1" applyBorder="1" applyAlignment="1" applyProtection="1">
      <alignment horizontal="center" vertical="center"/>
    </xf>
    <xf numFmtId="14" fontId="19" fillId="8" borderId="60" xfId="0" applyNumberFormat="1" applyFont="1" applyFill="1" applyBorder="1" applyAlignment="1" applyProtection="1">
      <alignment horizontal="center" vertical="center"/>
    </xf>
    <xf numFmtId="14" fontId="19" fillId="8" borderId="43" xfId="0" applyNumberFormat="1" applyFont="1" applyFill="1" applyBorder="1" applyAlignment="1" applyProtection="1">
      <alignment horizontal="center" vertical="center"/>
    </xf>
    <xf numFmtId="14" fontId="19" fillId="8" borderId="45" xfId="0" applyNumberFormat="1" applyFont="1" applyFill="1" applyBorder="1" applyAlignment="1" applyProtection="1">
      <alignment horizontal="center" vertical="center"/>
    </xf>
    <xf numFmtId="0" fontId="43" fillId="7" borderId="34" xfId="0" applyFont="1" applyFill="1" applyBorder="1" applyAlignment="1" applyProtection="1">
      <alignment horizontal="center" vertical="center"/>
    </xf>
    <xf numFmtId="0" fontId="43" fillId="7" borderId="32" xfId="0" applyFont="1" applyFill="1" applyBorder="1" applyAlignment="1" applyProtection="1">
      <alignment horizontal="center" vertical="center"/>
    </xf>
    <xf numFmtId="0" fontId="43" fillId="7" borderId="35" xfId="0" applyFont="1" applyFill="1" applyBorder="1" applyAlignment="1" applyProtection="1">
      <alignment horizontal="center" vertical="center"/>
    </xf>
    <xf numFmtId="0" fontId="43" fillId="7" borderId="38" xfId="0" applyFont="1" applyFill="1" applyBorder="1" applyAlignment="1" applyProtection="1">
      <alignment horizontal="center" vertical="center"/>
    </xf>
    <xf numFmtId="0" fontId="43" fillId="7" borderId="39" xfId="0" applyFont="1" applyFill="1" applyBorder="1" applyAlignment="1" applyProtection="1">
      <alignment horizontal="center" vertical="center"/>
    </xf>
    <xf numFmtId="0" fontId="43" fillId="7" borderId="40" xfId="0" applyFont="1" applyFill="1" applyBorder="1" applyAlignment="1" applyProtection="1">
      <alignment horizontal="center" vertical="center"/>
    </xf>
    <xf numFmtId="0" fontId="41" fillId="9" borderId="19" xfId="0" applyFont="1" applyFill="1" applyBorder="1" applyAlignment="1" applyProtection="1">
      <alignment horizontal="center" vertical="center"/>
      <protection locked="0"/>
    </xf>
    <xf numFmtId="0" fontId="19" fillId="9" borderId="1" xfId="0" applyFont="1" applyFill="1" applyBorder="1" applyAlignment="1" applyProtection="1">
      <alignment horizontal="center" vertical="center"/>
      <protection locked="0"/>
    </xf>
    <xf numFmtId="0" fontId="19" fillId="9" borderId="55" xfId="0" applyFont="1" applyFill="1" applyBorder="1" applyAlignment="1" applyProtection="1">
      <alignment horizontal="center" vertical="center"/>
      <protection locked="0"/>
    </xf>
    <xf numFmtId="14" fontId="31" fillId="12" borderId="19" xfId="0" applyNumberFormat="1" applyFont="1" applyFill="1" applyBorder="1" applyAlignment="1" applyProtection="1">
      <alignment horizontal="center" vertical="center"/>
      <protection locked="0"/>
    </xf>
    <xf numFmtId="0" fontId="31" fillId="12" borderId="28" xfId="0" applyNumberFormat="1" applyFont="1" applyFill="1" applyBorder="1" applyAlignment="1" applyProtection="1">
      <alignment horizontal="center" vertical="center"/>
      <protection locked="0"/>
    </xf>
    <xf numFmtId="0" fontId="31" fillId="12" borderId="42" xfId="0" applyNumberFormat="1" applyFont="1" applyFill="1" applyBorder="1" applyAlignment="1" applyProtection="1">
      <alignment horizontal="center" vertical="center"/>
      <protection locked="0"/>
    </xf>
    <xf numFmtId="0" fontId="41" fillId="9" borderId="1" xfId="0" applyFont="1" applyFill="1" applyBorder="1" applyAlignment="1" applyProtection="1">
      <alignment horizontal="center" vertical="center"/>
      <protection locked="0"/>
    </xf>
    <xf numFmtId="0" fontId="41" fillId="9" borderId="55" xfId="0" applyFont="1" applyFill="1" applyBorder="1" applyAlignment="1" applyProtection="1">
      <alignment horizontal="center" vertical="center"/>
      <protection locked="0"/>
    </xf>
    <xf numFmtId="49" fontId="19" fillId="9" borderId="19" xfId="0" applyNumberFormat="1" applyFont="1" applyFill="1" applyBorder="1" applyAlignment="1" applyProtection="1">
      <alignment horizontal="center" vertical="center"/>
      <protection locked="0"/>
    </xf>
    <xf numFmtId="49" fontId="19" fillId="9" borderId="28" xfId="0" applyNumberFormat="1" applyFont="1" applyFill="1" applyBorder="1" applyAlignment="1" applyProtection="1">
      <alignment horizontal="center" vertical="center"/>
      <protection locked="0"/>
    </xf>
    <xf numFmtId="49" fontId="19" fillId="9" borderId="42" xfId="0" applyNumberFormat="1" applyFont="1" applyFill="1" applyBorder="1" applyAlignment="1" applyProtection="1">
      <alignment horizontal="center" vertical="center"/>
      <protection locked="0"/>
    </xf>
    <xf numFmtId="0" fontId="19" fillId="9" borderId="48" xfId="0" applyFont="1" applyFill="1" applyBorder="1" applyAlignment="1" applyProtection="1">
      <alignment horizontal="center" vertical="center"/>
      <protection locked="0"/>
    </xf>
    <xf numFmtId="0" fontId="19" fillId="9" borderId="53" xfId="0" applyFont="1" applyFill="1" applyBorder="1" applyAlignment="1" applyProtection="1">
      <alignment horizontal="center" vertical="center"/>
      <protection locked="0"/>
    </xf>
    <xf numFmtId="0" fontId="19" fillId="9" borderId="56" xfId="0" applyFont="1" applyFill="1" applyBorder="1" applyAlignment="1" applyProtection="1">
      <alignment horizontal="center" vertical="center"/>
      <protection locked="0"/>
    </xf>
    <xf numFmtId="0" fontId="19" fillId="9" borderId="50" xfId="0" applyFont="1" applyFill="1" applyBorder="1" applyAlignment="1" applyProtection="1">
      <alignment horizontal="center" vertical="center"/>
      <protection locked="0"/>
    </xf>
    <xf numFmtId="0" fontId="19" fillId="9" borderId="51" xfId="0" applyFont="1" applyFill="1" applyBorder="1" applyAlignment="1" applyProtection="1">
      <alignment horizontal="center" vertical="center"/>
      <protection locked="0"/>
    </xf>
    <xf numFmtId="0" fontId="19" fillId="9" borderId="19" xfId="0" applyFont="1" applyFill="1" applyBorder="1" applyAlignment="1" applyProtection="1">
      <alignment horizontal="center" vertical="center"/>
      <protection locked="0"/>
    </xf>
    <xf numFmtId="0" fontId="19" fillId="9" borderId="28" xfId="0" applyFont="1" applyFill="1" applyBorder="1" applyAlignment="1" applyProtection="1">
      <alignment horizontal="center" vertical="center"/>
      <protection locked="0"/>
    </xf>
    <xf numFmtId="0" fontId="19" fillId="9" borderId="42" xfId="0" applyFont="1" applyFill="1" applyBorder="1" applyAlignment="1" applyProtection="1">
      <alignment horizontal="center" vertical="center"/>
      <protection locked="0"/>
    </xf>
    <xf numFmtId="0" fontId="11" fillId="9" borderId="62" xfId="1" applyFill="1" applyBorder="1" applyAlignment="1" applyProtection="1">
      <alignment horizontal="center" vertical="center"/>
      <protection locked="0"/>
    </xf>
    <xf numFmtId="0" fontId="19" fillId="9" borderId="39" xfId="0" applyFont="1" applyFill="1" applyBorder="1" applyAlignment="1" applyProtection="1">
      <alignment horizontal="center" vertical="center"/>
      <protection locked="0"/>
    </xf>
    <xf numFmtId="0" fontId="19" fillId="9" borderId="40" xfId="0" applyFont="1" applyFill="1" applyBorder="1" applyAlignment="1" applyProtection="1">
      <alignment horizontal="center" vertical="center"/>
      <protection locked="0"/>
    </xf>
    <xf numFmtId="0" fontId="19" fillId="12" borderId="19" xfId="0" applyFont="1" applyFill="1" applyBorder="1" applyAlignment="1" applyProtection="1">
      <alignment horizontal="center" vertical="center"/>
      <protection locked="0"/>
    </xf>
    <xf numFmtId="0" fontId="19" fillId="12" borderId="28" xfId="0" applyFont="1" applyFill="1" applyBorder="1" applyAlignment="1" applyProtection="1">
      <alignment horizontal="center" vertical="center"/>
      <protection locked="0"/>
    </xf>
    <xf numFmtId="0" fontId="19" fillId="12" borderId="42" xfId="0" applyFont="1" applyFill="1" applyBorder="1" applyAlignment="1" applyProtection="1">
      <alignment horizontal="center" vertical="center"/>
      <protection locked="0"/>
    </xf>
    <xf numFmtId="0" fontId="0" fillId="0" borderId="41" xfId="0" applyBorder="1" applyAlignment="1" applyProtection="1">
      <alignment horizontal="center"/>
    </xf>
    <xf numFmtId="0" fontId="0" fillId="0" borderId="43" xfId="0" applyBorder="1" applyAlignment="1" applyProtection="1">
      <alignment horizontal="center"/>
    </xf>
    <xf numFmtId="0" fontId="0" fillId="0" borderId="45" xfId="0" applyBorder="1" applyAlignment="1" applyProtection="1">
      <alignment horizontal="center"/>
    </xf>
    <xf numFmtId="0" fontId="19" fillId="13" borderId="69" xfId="0" applyFont="1" applyFill="1" applyBorder="1" applyAlignment="1" applyProtection="1">
      <alignment horizontal="center"/>
    </xf>
    <xf numFmtId="0" fontId="19" fillId="13" borderId="31" xfId="0" applyFont="1" applyFill="1" applyBorder="1" applyAlignment="1" applyProtection="1">
      <alignment horizontal="center"/>
    </xf>
    <xf numFmtId="0" fontId="44" fillId="7" borderId="41" xfId="0" applyFont="1" applyFill="1" applyBorder="1" applyAlignment="1" applyProtection="1">
      <alignment horizontal="center"/>
    </xf>
    <xf numFmtId="0" fontId="44" fillId="7" borderId="43" xfId="0" applyFont="1" applyFill="1" applyBorder="1" applyAlignment="1" applyProtection="1">
      <alignment horizontal="center"/>
    </xf>
    <xf numFmtId="0" fontId="44" fillId="7" borderId="32" xfId="0" applyFont="1" applyFill="1" applyBorder="1" applyAlignment="1" applyProtection="1">
      <alignment horizontal="center"/>
    </xf>
    <xf numFmtId="0" fontId="44" fillId="7" borderId="35" xfId="0" applyFont="1" applyFill="1" applyBorder="1" applyAlignment="1" applyProtection="1">
      <alignment horizontal="center"/>
    </xf>
    <xf numFmtId="0" fontId="19" fillId="13" borderId="1" xfId="0" applyFont="1" applyFill="1" applyBorder="1" applyAlignment="1" applyProtection="1">
      <alignment horizontal="center"/>
    </xf>
    <xf numFmtId="0" fontId="19" fillId="13" borderId="55" xfId="0" applyFont="1" applyFill="1" applyBorder="1" applyAlignment="1" applyProtection="1">
      <alignment horizontal="center"/>
    </xf>
    <xf numFmtId="0" fontId="44" fillId="7" borderId="45" xfId="0" applyFont="1" applyFill="1" applyBorder="1" applyAlignment="1" applyProtection="1">
      <alignment horizontal="center"/>
    </xf>
    <xf numFmtId="0" fontId="40" fillId="16" borderId="41" xfId="0" applyFont="1" applyFill="1" applyBorder="1" applyAlignment="1" applyProtection="1">
      <alignment horizontal="center"/>
    </xf>
    <xf numFmtId="0" fontId="40" fillId="16" borderId="43" xfId="0" applyFont="1" applyFill="1" applyBorder="1" applyAlignment="1" applyProtection="1">
      <alignment horizontal="center"/>
    </xf>
    <xf numFmtId="0" fontId="40" fillId="16" borderId="45" xfId="0" applyFont="1" applyFill="1" applyBorder="1" applyAlignment="1" applyProtection="1">
      <alignment horizontal="center"/>
    </xf>
    <xf numFmtId="0" fontId="0" fillId="12" borderId="41" xfId="0" applyFill="1" applyBorder="1" applyAlignment="1" applyProtection="1">
      <alignment horizontal="center"/>
    </xf>
    <xf numFmtId="0" fontId="0" fillId="12" borderId="43" xfId="0" applyFill="1" applyBorder="1" applyAlignment="1" applyProtection="1">
      <alignment horizontal="center"/>
    </xf>
    <xf numFmtId="0" fontId="0" fillId="12" borderId="45" xfId="0" applyFill="1" applyBorder="1" applyAlignment="1" applyProtection="1">
      <alignment horizontal="center"/>
    </xf>
    <xf numFmtId="0" fontId="0" fillId="10" borderId="41" xfId="0" applyFill="1" applyBorder="1" applyAlignment="1" applyProtection="1">
      <alignment horizontal="center"/>
    </xf>
    <xf numFmtId="0" fontId="0" fillId="10" borderId="43" xfId="0" applyFill="1" applyBorder="1" applyAlignment="1" applyProtection="1">
      <alignment horizontal="center"/>
    </xf>
    <xf numFmtId="0" fontId="0" fillId="10" borderId="45" xfId="0" applyFill="1" applyBorder="1" applyAlignment="1" applyProtection="1">
      <alignment horizontal="center"/>
    </xf>
    <xf numFmtId="0" fontId="0" fillId="9" borderId="41" xfId="0" applyFill="1" applyBorder="1" applyAlignment="1" applyProtection="1">
      <alignment horizontal="center"/>
    </xf>
    <xf numFmtId="0" fontId="0" fillId="9" borderId="43" xfId="0" applyFill="1" applyBorder="1" applyAlignment="1" applyProtection="1">
      <alignment horizontal="center"/>
    </xf>
    <xf numFmtId="0" fontId="0" fillId="9" borderId="45" xfId="0" applyFill="1" applyBorder="1" applyAlignment="1" applyProtection="1">
      <alignment horizontal="center"/>
    </xf>
    <xf numFmtId="0" fontId="19" fillId="12" borderId="41" xfId="0" applyFont="1" applyFill="1" applyBorder="1" applyAlignment="1" applyProtection="1">
      <alignment horizontal="center"/>
    </xf>
    <xf numFmtId="0" fontId="19" fillId="12" borderId="43" xfId="0" applyFont="1" applyFill="1" applyBorder="1" applyAlignment="1" applyProtection="1">
      <alignment horizontal="center"/>
    </xf>
    <xf numFmtId="0" fontId="19" fillId="12" borderId="45" xfId="0" applyFont="1" applyFill="1" applyBorder="1" applyAlignment="1" applyProtection="1">
      <alignment horizontal="center"/>
    </xf>
    <xf numFmtId="0" fontId="0" fillId="14" borderId="41" xfId="0" applyFill="1" applyBorder="1" applyAlignment="1" applyProtection="1">
      <alignment horizontal="center"/>
    </xf>
    <xf numFmtId="0" fontId="0" fillId="14" borderId="43" xfId="0" applyFill="1" applyBorder="1" applyAlignment="1" applyProtection="1">
      <alignment horizontal="center"/>
    </xf>
    <xf numFmtId="0" fontId="0" fillId="14" borderId="45" xfId="0" applyFill="1" applyBorder="1" applyAlignment="1" applyProtection="1">
      <alignment horizontal="center"/>
    </xf>
    <xf numFmtId="0" fontId="19" fillId="13" borderId="48" xfId="0" applyFont="1" applyFill="1" applyBorder="1" applyAlignment="1" applyProtection="1">
      <alignment horizontal="center"/>
    </xf>
    <xf numFmtId="0" fontId="19" fillId="13" borderId="53" xfId="0" applyFont="1" applyFill="1" applyBorder="1" applyAlignment="1" applyProtection="1">
      <alignment horizontal="center"/>
    </xf>
    <xf numFmtId="0" fontId="41" fillId="3" borderId="56" xfId="0" applyFont="1" applyFill="1" applyBorder="1" applyAlignment="1" applyProtection="1">
      <alignment horizontal="center" vertical="center"/>
      <protection locked="0"/>
    </xf>
    <xf numFmtId="0" fontId="41" fillId="3" borderId="50" xfId="0" applyFont="1" applyFill="1" applyBorder="1" applyAlignment="1" applyProtection="1">
      <alignment horizontal="center" vertical="center"/>
      <protection locked="0"/>
    </xf>
    <xf numFmtId="0" fontId="41" fillId="3" borderId="51" xfId="0" applyFont="1" applyFill="1" applyBorder="1" applyAlignment="1" applyProtection="1">
      <alignment horizontal="center" vertical="center"/>
      <protection locked="0"/>
    </xf>
    <xf numFmtId="0" fontId="41" fillId="3" borderId="19" xfId="0" applyFont="1" applyFill="1" applyBorder="1" applyAlignment="1" applyProtection="1">
      <alignment horizontal="center" vertical="center"/>
      <protection locked="0"/>
    </xf>
    <xf numFmtId="0" fontId="41" fillId="3" borderId="28" xfId="0" applyFont="1" applyFill="1" applyBorder="1" applyAlignment="1" applyProtection="1">
      <alignment horizontal="center" vertical="center"/>
      <protection locked="0"/>
    </xf>
    <xf numFmtId="0" fontId="41" fillId="3" borderId="42" xfId="0" applyFont="1" applyFill="1" applyBorder="1" applyAlignment="1" applyProtection="1">
      <alignment horizontal="center" vertical="center"/>
      <protection locked="0"/>
    </xf>
    <xf numFmtId="0" fontId="41" fillId="3" borderId="1" xfId="0" applyFont="1" applyFill="1" applyBorder="1" applyAlignment="1" applyProtection="1">
      <alignment horizontal="center" vertical="center"/>
      <protection locked="0"/>
    </xf>
    <xf numFmtId="0" fontId="41" fillId="3" borderId="55" xfId="0" applyFont="1" applyFill="1" applyBorder="1" applyAlignment="1" applyProtection="1">
      <alignment horizontal="center" vertical="center"/>
      <protection locked="0"/>
    </xf>
    <xf numFmtId="0" fontId="19" fillId="3" borderId="48" xfId="0" applyFont="1" applyFill="1" applyBorder="1" applyAlignment="1" applyProtection="1">
      <alignment horizontal="center" vertical="center"/>
      <protection locked="0"/>
    </xf>
    <xf numFmtId="0" fontId="19" fillId="3" borderId="53" xfId="0" applyFont="1" applyFill="1" applyBorder="1" applyAlignment="1" applyProtection="1">
      <alignment horizontal="center" vertical="center"/>
      <protection locked="0"/>
    </xf>
    <xf numFmtId="0" fontId="19" fillId="13" borderId="19" xfId="0" applyFont="1" applyFill="1" applyBorder="1" applyAlignment="1" applyProtection="1">
      <alignment horizontal="center"/>
    </xf>
    <xf numFmtId="0" fontId="19" fillId="13" borderId="28" xfId="0" applyFont="1" applyFill="1" applyBorder="1" applyAlignment="1" applyProtection="1">
      <alignment horizontal="center"/>
    </xf>
    <xf numFmtId="0" fontId="19" fillId="13" borderId="42" xfId="0" applyFont="1" applyFill="1" applyBorder="1" applyAlignment="1" applyProtection="1">
      <alignment horizontal="center"/>
    </xf>
    <xf numFmtId="9" fontId="19" fillId="13" borderId="1" xfId="0" applyNumberFormat="1" applyFont="1" applyFill="1" applyBorder="1" applyAlignment="1" applyProtection="1">
      <alignment horizontal="center"/>
    </xf>
    <xf numFmtId="9" fontId="19" fillId="13" borderId="55" xfId="0" applyNumberFormat="1" applyFont="1" applyFill="1" applyBorder="1" applyAlignment="1" applyProtection="1">
      <alignment horizontal="center"/>
    </xf>
    <xf numFmtId="0" fontId="31" fillId="0" borderId="41" xfId="0" applyFont="1" applyFill="1" applyBorder="1" applyAlignment="1" applyProtection="1">
      <alignment horizontal="left" vertical="center"/>
    </xf>
    <xf numFmtId="0" fontId="31" fillId="0" borderId="59" xfId="0" applyFont="1" applyFill="1" applyBorder="1" applyAlignment="1" applyProtection="1">
      <alignment horizontal="left" vertical="center"/>
    </xf>
    <xf numFmtId="0" fontId="19" fillId="2" borderId="43" xfId="0" applyNumberFormat="1" applyFont="1" applyFill="1" applyBorder="1" applyAlignment="1" applyProtection="1">
      <alignment horizontal="left" vertical="center" indent="1"/>
    </xf>
    <xf numFmtId="0" fontId="19" fillId="2" borderId="45" xfId="0" applyNumberFormat="1" applyFont="1" applyFill="1" applyBorder="1" applyAlignment="1" applyProtection="1">
      <alignment horizontal="left" vertical="center" indent="1"/>
    </xf>
    <xf numFmtId="0" fontId="41" fillId="0" borderId="56" xfId="0" applyFont="1" applyFill="1" applyBorder="1" applyAlignment="1" applyProtection="1">
      <alignment horizontal="center" vertical="center"/>
      <protection locked="0"/>
    </xf>
    <xf numFmtId="0" fontId="41" fillId="0" borderId="50" xfId="0" applyFont="1" applyFill="1" applyBorder="1" applyAlignment="1" applyProtection="1">
      <alignment horizontal="center" vertical="center"/>
      <protection locked="0"/>
    </xf>
    <xf numFmtId="0" fontId="41" fillId="0" borderId="54" xfId="0" applyFont="1" applyFill="1" applyBorder="1" applyAlignment="1" applyProtection="1">
      <alignment horizontal="center" vertical="center"/>
      <protection locked="0"/>
    </xf>
    <xf numFmtId="0" fontId="19" fillId="13" borderId="64" xfId="0" applyFont="1" applyFill="1" applyBorder="1" applyAlignment="1" applyProtection="1">
      <alignment horizontal="center"/>
    </xf>
    <xf numFmtId="0" fontId="19" fillId="13" borderId="44" xfId="0" applyFont="1" applyFill="1" applyBorder="1" applyAlignment="1" applyProtection="1">
      <alignment horizontal="center"/>
    </xf>
    <xf numFmtId="0" fontId="19" fillId="13" borderId="47" xfId="0" applyFont="1" applyFill="1" applyBorder="1" applyAlignment="1" applyProtection="1">
      <alignment horizontal="center"/>
    </xf>
    <xf numFmtId="0" fontId="19" fillId="3" borderId="34" xfId="0" applyFont="1" applyFill="1" applyBorder="1" applyAlignment="1">
      <alignment horizontal="left" vertical="top" wrapText="1"/>
    </xf>
    <xf numFmtId="0" fontId="19" fillId="3" borderId="32" xfId="0" applyFont="1" applyFill="1" applyBorder="1" applyAlignment="1">
      <alignment horizontal="left" vertical="top" wrapText="1"/>
    </xf>
    <xf numFmtId="0" fontId="19" fillId="3" borderId="35" xfId="0" applyFont="1" applyFill="1" applyBorder="1" applyAlignment="1">
      <alignment horizontal="left" vertical="top" wrapText="1"/>
    </xf>
    <xf numFmtId="0" fontId="19" fillId="3" borderId="36" xfId="0" applyFont="1" applyFill="1" applyBorder="1" applyAlignment="1">
      <alignment horizontal="left" vertical="top" wrapText="1"/>
    </xf>
    <xf numFmtId="0" fontId="19" fillId="3" borderId="0" xfId="0" applyFont="1" applyFill="1" applyBorder="1" applyAlignment="1">
      <alignment horizontal="left" vertical="top" wrapText="1"/>
    </xf>
    <xf numFmtId="0" fontId="19" fillId="3" borderId="37" xfId="0" applyFont="1" applyFill="1" applyBorder="1" applyAlignment="1">
      <alignment horizontal="left" vertical="top" wrapText="1"/>
    </xf>
    <xf numFmtId="0" fontId="19" fillId="3" borderId="38" xfId="0" applyFont="1" applyFill="1" applyBorder="1" applyAlignment="1">
      <alignment horizontal="left" vertical="top" wrapText="1"/>
    </xf>
    <xf numFmtId="0" fontId="19" fillId="3" borderId="39" xfId="0" applyFont="1" applyFill="1" applyBorder="1" applyAlignment="1">
      <alignment horizontal="left" vertical="top" wrapText="1"/>
    </xf>
    <xf numFmtId="0" fontId="19" fillId="3" borderId="40" xfId="0" applyFont="1" applyFill="1" applyBorder="1" applyAlignment="1">
      <alignment horizontal="left" vertical="top" wrapText="1"/>
    </xf>
    <xf numFmtId="0" fontId="0" fillId="3" borderId="32" xfId="0" applyFill="1" applyBorder="1" applyAlignment="1">
      <alignment horizontal="left" vertical="top" wrapText="1"/>
    </xf>
    <xf numFmtId="0" fontId="0" fillId="3" borderId="35" xfId="0" applyFill="1" applyBorder="1" applyAlignment="1">
      <alignment horizontal="left" vertical="top" wrapText="1"/>
    </xf>
    <xf numFmtId="0" fontId="0" fillId="3" borderId="36" xfId="0" applyFill="1" applyBorder="1" applyAlignment="1">
      <alignment horizontal="left" vertical="top" wrapText="1"/>
    </xf>
    <xf numFmtId="0" fontId="0" fillId="3" borderId="0" xfId="0" applyFill="1" applyBorder="1" applyAlignment="1">
      <alignment horizontal="left" vertical="top" wrapText="1"/>
    </xf>
    <xf numFmtId="0" fontId="0" fillId="3" borderId="37" xfId="0" applyFill="1" applyBorder="1" applyAlignment="1">
      <alignment horizontal="left" vertical="top" wrapText="1"/>
    </xf>
    <xf numFmtId="0" fontId="0" fillId="3" borderId="38" xfId="0" applyFill="1" applyBorder="1" applyAlignment="1">
      <alignment horizontal="left" vertical="top" wrapText="1"/>
    </xf>
    <xf numFmtId="0" fontId="0" fillId="3" borderId="39" xfId="0" applyFill="1" applyBorder="1" applyAlignment="1">
      <alignment horizontal="left" vertical="top" wrapText="1"/>
    </xf>
    <xf numFmtId="0" fontId="0" fillId="3" borderId="40" xfId="0" applyFill="1" applyBorder="1" applyAlignment="1">
      <alignment horizontal="left" vertical="top" wrapText="1"/>
    </xf>
    <xf numFmtId="0" fontId="4" fillId="15" borderId="28" xfId="0" applyFont="1" applyFill="1" applyBorder="1" applyAlignment="1">
      <alignment horizontal="center"/>
    </xf>
    <xf numFmtId="0" fontId="4" fillId="4" borderId="19" xfId="0" applyFont="1" applyFill="1" applyBorder="1" applyAlignment="1">
      <alignment horizontal="left"/>
    </xf>
    <xf numFmtId="0" fontId="4" fillId="4" borderId="29" xfId="0" applyFont="1" applyFill="1" applyBorder="1" applyAlignment="1">
      <alignment horizontal="left"/>
    </xf>
    <xf numFmtId="0" fontId="4" fillId="4" borderId="8" xfId="0" applyFont="1" applyFill="1" applyBorder="1" applyAlignment="1">
      <alignment horizontal="center"/>
    </xf>
    <xf numFmtId="0" fontId="4" fillId="4" borderId="9" xfId="0" applyFont="1" applyFill="1" applyBorder="1" applyAlignment="1">
      <alignment horizontal="center"/>
    </xf>
    <xf numFmtId="0" fontId="4" fillId="15" borderId="52" xfId="0" applyFont="1" applyFill="1" applyBorder="1" applyAlignment="1">
      <alignment horizontal="center"/>
    </xf>
    <xf numFmtId="0" fontId="19" fillId="2" borderId="60" xfId="0" applyNumberFormat="1" applyFont="1" applyFill="1" applyBorder="1" applyAlignment="1" applyProtection="1">
      <alignment horizontal="left" vertical="center" indent="1"/>
    </xf>
    <xf numFmtId="14" fontId="0" fillId="11" borderId="60" xfId="0" applyNumberFormat="1" applyFill="1" applyBorder="1" applyAlignment="1" applyProtection="1">
      <alignment horizontal="left" vertical="center" indent="2"/>
    </xf>
    <xf numFmtId="0" fontId="19" fillId="11" borderId="60" xfId="0" applyFont="1" applyFill="1" applyBorder="1" applyAlignment="1" applyProtection="1">
      <alignment horizontal="left" vertical="center" indent="1"/>
    </xf>
    <xf numFmtId="0" fontId="19" fillId="13" borderId="0" xfId="0" applyFont="1" applyFill="1" applyBorder="1" applyAlignment="1" applyProtection="1">
      <alignment horizontal="center"/>
    </xf>
    <xf numFmtId="0" fontId="25" fillId="4" borderId="34" xfId="0" applyFont="1" applyFill="1" applyBorder="1" applyAlignment="1">
      <alignment horizontal="center"/>
    </xf>
    <xf numFmtId="0" fontId="25" fillId="4" borderId="32" xfId="0" applyFont="1" applyFill="1" applyBorder="1" applyAlignment="1">
      <alignment horizontal="center"/>
    </xf>
    <xf numFmtId="0" fontId="25" fillId="4" borderId="35" xfId="0" applyFont="1" applyFill="1" applyBorder="1" applyAlignment="1">
      <alignment horizontal="center"/>
    </xf>
    <xf numFmtId="0" fontId="25" fillId="4" borderId="36" xfId="0" applyFont="1" applyFill="1" applyBorder="1" applyAlignment="1">
      <alignment horizontal="center"/>
    </xf>
    <xf numFmtId="0" fontId="25" fillId="4" borderId="0" xfId="0" applyFont="1" applyFill="1" applyBorder="1" applyAlignment="1">
      <alignment horizontal="center"/>
    </xf>
    <xf numFmtId="0" fontId="25" fillId="4" borderId="37" xfId="0" applyFont="1" applyFill="1" applyBorder="1" applyAlignment="1">
      <alignment horizontal="center"/>
    </xf>
    <xf numFmtId="0" fontId="25" fillId="4" borderId="38" xfId="0" applyFont="1" applyFill="1" applyBorder="1" applyAlignment="1">
      <alignment horizontal="center"/>
    </xf>
    <xf numFmtId="0" fontId="25" fillId="4" borderId="39" xfId="0" applyFont="1" applyFill="1" applyBorder="1" applyAlignment="1">
      <alignment horizontal="center"/>
    </xf>
    <xf numFmtId="0" fontId="25" fillId="4" borderId="40" xfId="0" applyFont="1" applyFill="1" applyBorder="1" applyAlignment="1">
      <alignment horizontal="center"/>
    </xf>
    <xf numFmtId="168" fontId="0" fillId="18" borderId="1" xfId="0" applyNumberFormat="1" applyFill="1" applyBorder="1" applyAlignment="1">
      <alignment horizontal="left"/>
    </xf>
    <xf numFmtId="0" fontId="0" fillId="18" borderId="1" xfId="0" applyFill="1" applyBorder="1" applyAlignment="1">
      <alignment horizontal="left"/>
    </xf>
    <xf numFmtId="0" fontId="0" fillId="18" borderId="1" xfId="0" applyFill="1" applyBorder="1" applyAlignment="1"/>
    <xf numFmtId="0" fontId="0" fillId="0" borderId="0" xfId="0" applyAlignment="1">
      <alignment horizontal="left"/>
    </xf>
    <xf numFmtId="0" fontId="0" fillId="15" borderId="1" xfId="0" applyFill="1" applyBorder="1" applyAlignment="1">
      <alignment horizontal="left"/>
    </xf>
    <xf numFmtId="0" fontId="0" fillId="15" borderId="19" xfId="0" applyFill="1" applyBorder="1" applyAlignment="1">
      <alignment horizontal="left"/>
    </xf>
    <xf numFmtId="0" fontId="0" fillId="18" borderId="5" xfId="0" applyFill="1" applyBorder="1" applyAlignment="1">
      <alignment horizontal="left"/>
    </xf>
    <xf numFmtId="0" fontId="0" fillId="18" borderId="18" xfId="0" applyFill="1" applyBorder="1" applyAlignment="1">
      <alignment horizontal="left"/>
    </xf>
    <xf numFmtId="0" fontId="0" fillId="18" borderId="19" xfId="0" applyFill="1" applyBorder="1" applyAlignment="1">
      <alignment horizontal="left"/>
    </xf>
    <xf numFmtId="0" fontId="0" fillId="4" borderId="43" xfId="0" applyFill="1" applyBorder="1" applyAlignment="1">
      <alignment horizontal="center"/>
    </xf>
    <xf numFmtId="0" fontId="0" fillId="18" borderId="2" xfId="0" applyFill="1" applyBorder="1" applyAlignment="1">
      <alignment horizontal="left"/>
    </xf>
    <xf numFmtId="0" fontId="0" fillId="18" borderId="68" xfId="0" applyFill="1" applyBorder="1" applyAlignment="1">
      <alignment horizontal="left"/>
    </xf>
    <xf numFmtId="168" fontId="0" fillId="18" borderId="48" xfId="0" applyNumberFormat="1" applyFill="1" applyBorder="1" applyAlignment="1">
      <alignment horizontal="left"/>
    </xf>
    <xf numFmtId="0" fontId="0" fillId="18" borderId="55" xfId="0" applyFill="1" applyBorder="1" applyAlignment="1">
      <alignment horizontal="left"/>
    </xf>
    <xf numFmtId="168" fontId="0" fillId="18" borderId="57" xfId="0" applyNumberFormat="1" applyFill="1" applyBorder="1" applyAlignment="1">
      <alignment horizontal="left"/>
    </xf>
    <xf numFmtId="0" fontId="0" fillId="18" borderId="57" xfId="0" applyFill="1" applyBorder="1" applyAlignment="1">
      <alignment horizontal="left"/>
    </xf>
    <xf numFmtId="0" fontId="0" fillId="0" borderId="0" xfId="0" applyAlignment="1">
      <alignment horizontal="center"/>
    </xf>
    <xf numFmtId="0" fontId="0" fillId="4" borderId="43" xfId="0" applyFill="1" applyBorder="1" applyAlignment="1"/>
    <xf numFmtId="0" fontId="0" fillId="18" borderId="67" xfId="0" applyFill="1" applyBorder="1" applyAlignment="1">
      <alignment horizontal="left"/>
    </xf>
    <xf numFmtId="0" fontId="45" fillId="2" borderId="32" xfId="0" applyNumberFormat="1" applyFont="1" applyFill="1" applyBorder="1" applyAlignment="1" applyProtection="1">
      <alignment horizontal="center"/>
    </xf>
    <xf numFmtId="0" fontId="45" fillId="2" borderId="35" xfId="0" applyNumberFormat="1" applyFont="1" applyFill="1" applyBorder="1" applyAlignment="1" applyProtection="1">
      <alignment horizontal="center"/>
    </xf>
    <xf numFmtId="0" fontId="45" fillId="2" borderId="0" xfId="0" applyNumberFormat="1" applyFont="1" applyFill="1" applyBorder="1" applyAlignment="1" applyProtection="1">
      <alignment horizontal="center"/>
    </xf>
    <xf numFmtId="0" fontId="45" fillId="2" borderId="37" xfId="0" applyNumberFormat="1" applyFont="1" applyFill="1" applyBorder="1" applyAlignment="1" applyProtection="1">
      <alignment horizontal="center"/>
    </xf>
    <xf numFmtId="0" fontId="46" fillId="2" borderId="39" xfId="0" applyNumberFormat="1" applyFont="1" applyFill="1" applyBorder="1" applyAlignment="1" applyProtection="1">
      <alignment horizontal="center" vertical="center"/>
    </xf>
    <xf numFmtId="0" fontId="46" fillId="2" borderId="40" xfId="0" applyNumberFormat="1" applyFont="1" applyFill="1" applyBorder="1" applyAlignment="1" applyProtection="1">
      <alignment horizontal="center" vertical="center"/>
    </xf>
    <xf numFmtId="0" fontId="0" fillId="18" borderId="58" xfId="0" applyFill="1" applyBorder="1" applyAlignment="1">
      <alignment horizontal="left"/>
    </xf>
  </cellXfs>
  <cellStyles count="5">
    <cellStyle name="Link" xfId="1" builtinId="8"/>
    <cellStyle name="Link 2" xfId="3"/>
    <cellStyle name="Link 3" xfId="2"/>
    <cellStyle name="Normal" xfId="0" builtinId="0"/>
    <cellStyle name="Normal 2" xfId="4"/>
  </cellStyles>
  <dxfs count="130">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bgColor rgb="FF00B050"/>
        </patternFill>
      </fill>
    </dxf>
    <dxf>
      <fill>
        <patternFill>
          <bgColor rgb="FFFF0000"/>
        </patternFill>
      </fill>
    </dxf>
    <dxf>
      <fill>
        <patternFill>
          <bgColor rgb="FFFFFF00"/>
        </patternFill>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ont>
        <b/>
        <i val="0"/>
        <condense val="0"/>
        <extend val="0"/>
      </font>
      <fill>
        <patternFill>
          <bgColor indexed="10"/>
        </patternFill>
      </fill>
    </dxf>
    <dxf>
      <font>
        <b/>
        <i val="0"/>
        <condense val="0"/>
        <extend val="0"/>
      </font>
      <fill>
        <patternFill>
          <bgColor rgb="FF00B050"/>
        </patternFill>
      </fill>
    </dxf>
    <dxf>
      <fill>
        <patternFill patternType="none">
          <bgColor auto="1"/>
        </patternFill>
      </fill>
    </dxf>
    <dxf>
      <fill>
        <patternFill>
          <bgColor indexed="10"/>
        </patternFill>
      </fill>
    </dxf>
    <dxf>
      <fill>
        <patternFill>
          <bgColor rgb="FF00B050"/>
        </patternFill>
      </fill>
    </dxf>
    <dxf>
      <fill>
        <patternFill>
          <bgColor indexed="10"/>
        </patternFill>
      </fill>
    </dxf>
    <dxf>
      <fill>
        <patternFill>
          <bgColor rgb="FF00B050"/>
        </patternFill>
      </fill>
    </dxf>
    <dxf>
      <fill>
        <patternFill patternType="none">
          <bgColor auto="1"/>
        </patternFill>
      </fill>
    </dxf>
    <dxf>
      <fill>
        <patternFill patternType="none">
          <bgColor auto="1"/>
        </patternFill>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bgColor indexed="10"/>
        </patternFill>
      </fill>
    </dxf>
    <dxf>
      <fill>
        <patternFill>
          <bgColor rgb="FF00B050"/>
        </patternFill>
      </fill>
    </dxf>
    <dxf>
      <fill>
        <patternFill>
          <bgColor indexed="10"/>
        </patternFill>
      </fill>
    </dxf>
    <dxf>
      <fill>
        <patternFill>
          <bgColor rgb="FF00B050"/>
        </patternFill>
      </fill>
    </dxf>
    <dxf>
      <fill>
        <patternFill>
          <bgColor indexed="10"/>
        </patternFill>
      </fill>
    </dxf>
    <dxf>
      <fill>
        <patternFill>
          <bgColor rgb="FF00B050"/>
        </patternFill>
      </fill>
    </dxf>
    <dxf>
      <fill>
        <patternFill>
          <bgColor rgb="FFFF0000"/>
        </patternFill>
      </fill>
    </dxf>
    <dxf>
      <fill>
        <patternFill>
          <bgColor indexed="10"/>
        </patternFill>
      </fill>
    </dxf>
    <dxf>
      <fill>
        <patternFill>
          <bgColor indexed="10"/>
        </patternFill>
      </fill>
    </dxf>
    <dxf>
      <fill>
        <patternFill>
          <bgColor rgb="FF00B050"/>
        </patternFill>
      </fill>
    </dxf>
    <dxf>
      <fill>
        <patternFill>
          <bgColor indexed="10"/>
        </patternFill>
      </fill>
    </dxf>
    <dxf>
      <fill>
        <patternFill>
          <bgColor rgb="FF00B050"/>
        </patternFill>
      </fill>
    </dxf>
    <dxf>
      <fill>
        <patternFill>
          <bgColor indexed="10"/>
        </patternFill>
      </fill>
    </dxf>
    <dxf>
      <fill>
        <patternFill>
          <bgColor rgb="FF00B050"/>
        </patternFill>
      </fill>
    </dxf>
    <dxf>
      <fill>
        <patternFill patternType="lightUp"/>
      </fill>
    </dxf>
    <dxf>
      <fill>
        <patternFill>
          <bgColor rgb="FFFF0000"/>
        </patternFill>
      </fill>
    </dxf>
    <dxf>
      <fill>
        <patternFill>
          <bgColor indexed="10"/>
        </patternFill>
      </fill>
    </dxf>
    <dxf>
      <fill>
        <patternFill>
          <bgColor indexed="10"/>
        </patternFill>
      </fill>
    </dxf>
    <dxf>
      <fill>
        <patternFill>
          <bgColor rgb="FF00B050"/>
        </patternFill>
      </fill>
    </dxf>
    <dxf>
      <fill>
        <patternFill>
          <bgColor indexed="10"/>
        </patternFill>
      </fill>
    </dxf>
    <dxf>
      <fill>
        <patternFill>
          <bgColor rgb="FF00B050"/>
        </patternFill>
      </fill>
    </dxf>
    <dxf>
      <fill>
        <patternFill>
          <bgColor rgb="FF00B050"/>
        </patternFill>
      </fill>
    </dxf>
    <dxf>
      <fill>
        <patternFill>
          <bgColor rgb="FFFF0000"/>
        </patternFill>
      </fill>
    </dxf>
    <dxf>
      <fill>
        <patternFill>
          <bgColor theme="0"/>
        </patternFill>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bgColor rgb="FF00B050"/>
        </patternFill>
      </fill>
    </dxf>
    <dxf>
      <fill>
        <patternFill>
          <bgColor rgb="FFFF0000"/>
        </patternFill>
      </fill>
    </dxf>
    <dxf>
      <fill>
        <patternFill>
          <bgColor theme="0"/>
        </patternFill>
      </fill>
    </dxf>
    <dxf>
      <fill>
        <patternFill patternType="lightUp"/>
      </fill>
    </dxf>
    <dxf>
      <fill>
        <patternFill patternType="lightUp"/>
      </fill>
    </dxf>
    <dxf>
      <fill>
        <patternFill patternType="lightUp"/>
      </fill>
    </dxf>
    <dxf>
      <font>
        <color auto="1"/>
      </font>
      <fill>
        <patternFill>
          <bgColor rgb="FF00B0F0"/>
        </patternFill>
      </fill>
    </dxf>
    <dxf>
      <font>
        <color auto="1"/>
      </font>
      <fill>
        <patternFill>
          <bgColor rgb="FF00B0F0"/>
        </patternFill>
      </fill>
    </dxf>
    <dxf>
      <fill>
        <patternFill patternType="lightUp"/>
      </fill>
    </dxf>
    <dxf>
      <fill>
        <patternFill patternType="lightUp"/>
      </fill>
    </dxf>
    <dxf>
      <fill>
        <patternFill patternType="lightUp"/>
      </fill>
    </dxf>
    <dxf>
      <fill>
        <patternFill patternType="lightUp"/>
      </fill>
    </dxf>
  </dxfs>
  <tableStyles count="0" defaultTableStyle="TableStyleMedium9" defaultPivotStyle="PivotStyleLight16"/>
  <colors>
    <mruColors>
      <color rgb="FF99CCFF"/>
      <color rgb="FFCCFFFF"/>
      <color rgb="FF66FFFF"/>
      <color rgb="FF00FFFF"/>
      <color rgb="FFFFFF99"/>
      <color rgb="FF99FFCC"/>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da-DK"/>
              <a:t>Kontrastrespons</a:t>
            </a:r>
          </a:p>
        </c:rich>
      </c:tx>
      <c:layout>
        <c:manualLayout>
          <c:xMode val="edge"/>
          <c:yMode val="edge"/>
          <c:x val="0.34492844916124615"/>
          <c:y val="3.90625E-2"/>
        </c:manualLayout>
      </c:layout>
      <c:overlay val="0"/>
      <c:spPr>
        <a:noFill/>
        <a:ln w="25400">
          <a:noFill/>
        </a:ln>
      </c:spPr>
    </c:title>
    <c:autoTitleDeleted val="0"/>
    <c:plotArea>
      <c:layout>
        <c:manualLayout>
          <c:layoutTarget val="inner"/>
          <c:xMode val="edge"/>
          <c:yMode val="edge"/>
          <c:x val="0.17381504210602602"/>
          <c:y val="0.15000068664865104"/>
          <c:w val="0.80135506425505498"/>
          <c:h val="0.67500308991892966"/>
        </c:manualLayout>
      </c:layout>
      <c:scatterChart>
        <c:scatterStyle val="smoothMarker"/>
        <c:varyColors val="0"/>
        <c:ser>
          <c:idx val="0"/>
          <c:order val="0"/>
          <c:tx>
            <c:v>DICOM 3.14</c:v>
          </c:tx>
          <c:spPr>
            <a:ln w="12700">
              <a:solidFill>
                <a:srgbClr val="000000"/>
              </a:solidFill>
              <a:prstDash val="solid"/>
            </a:ln>
          </c:spPr>
          <c:marker>
            <c:symbol val="none"/>
          </c:marker>
          <c:xVal>
            <c:numRef>
              <c:f>'5.2-5.4 Forhold; GSDF; forskel'!$Y$34:$Y$50</c:f>
              <c:numCache>
                <c:formatCode>0.00</c:formatCode>
                <c:ptCount val="17"/>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numCache>
            </c:numRef>
          </c:xVal>
          <c:yVal>
            <c:numRef>
              <c:f>'5.2-5.4 Forhold; GSDF; forskel'!$V$34:$V$50</c:f>
              <c:numCache>
                <c:formatCode>0.000</c:formatCode>
                <c:ptCount val="17"/>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numCache>
            </c:numRef>
          </c:yVal>
          <c:smooth val="1"/>
          <c:extLst>
            <c:ext xmlns:c16="http://schemas.microsoft.com/office/drawing/2014/chart" uri="{C3380CC4-5D6E-409C-BE32-E72D297353CC}">
              <c16:uniqueId val="{00000000-4438-4BE7-91D4-433FAAB89397}"/>
            </c:ext>
          </c:extLst>
        </c:ser>
        <c:ser>
          <c:idx val="2"/>
          <c:order val="1"/>
          <c:tx>
            <c:strRef>
              <c:f>'5.2-5.4 Forhold; GSDF; forskel'!$W$32</c:f>
              <c:strCache>
                <c:ptCount val="1"/>
                <c:pt idx="0">
                  <c:v>+15%</c:v>
                </c:pt>
              </c:strCache>
            </c:strRef>
          </c:tx>
          <c:spPr>
            <a:ln w="12700">
              <a:solidFill>
                <a:srgbClr val="000000"/>
              </a:solidFill>
              <a:prstDash val="sysDash"/>
            </a:ln>
          </c:spPr>
          <c:marker>
            <c:symbol val="none"/>
          </c:marker>
          <c:xVal>
            <c:numRef>
              <c:f>'5.2-5.4 Forhold; GSDF; forskel'!$Y$34:$Y$50</c:f>
              <c:numCache>
                <c:formatCode>0.00</c:formatCode>
                <c:ptCount val="17"/>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numCache>
            </c:numRef>
          </c:xVal>
          <c:yVal>
            <c:numRef>
              <c:f>'5.2-5.4 Forhold; GSDF; forskel'!$W$34:$W$50</c:f>
              <c:numCache>
                <c:formatCode>0.000</c:formatCode>
                <c:ptCount val="17"/>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numCache>
            </c:numRef>
          </c:yVal>
          <c:smooth val="1"/>
          <c:extLst>
            <c:ext xmlns:c16="http://schemas.microsoft.com/office/drawing/2014/chart" uri="{C3380CC4-5D6E-409C-BE32-E72D297353CC}">
              <c16:uniqueId val="{00000001-4438-4BE7-91D4-433FAAB89397}"/>
            </c:ext>
          </c:extLst>
        </c:ser>
        <c:ser>
          <c:idx val="3"/>
          <c:order val="2"/>
          <c:tx>
            <c:strRef>
              <c:f>'5.2-5.4 Forhold; GSDF; forskel'!$X$32</c:f>
              <c:strCache>
                <c:ptCount val="1"/>
                <c:pt idx="0">
                  <c:v>-15%</c:v>
                </c:pt>
              </c:strCache>
            </c:strRef>
          </c:tx>
          <c:spPr>
            <a:ln w="12700">
              <a:solidFill>
                <a:srgbClr val="000000"/>
              </a:solidFill>
              <a:prstDash val="sysDash"/>
            </a:ln>
          </c:spPr>
          <c:marker>
            <c:symbol val="none"/>
          </c:marker>
          <c:xVal>
            <c:numRef>
              <c:f>'5.2-5.4 Forhold; GSDF; forskel'!$Y$34:$Y$50</c:f>
              <c:numCache>
                <c:formatCode>0.00</c:formatCode>
                <c:ptCount val="17"/>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numCache>
            </c:numRef>
          </c:xVal>
          <c:yVal>
            <c:numRef>
              <c:f>'5.2-5.4 Forhold; GSDF; forskel'!$X$34:$X$50</c:f>
              <c:numCache>
                <c:formatCode>0.000</c:formatCode>
                <c:ptCount val="17"/>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numCache>
            </c:numRef>
          </c:yVal>
          <c:smooth val="1"/>
          <c:extLst>
            <c:ext xmlns:c16="http://schemas.microsoft.com/office/drawing/2014/chart" uri="{C3380CC4-5D6E-409C-BE32-E72D297353CC}">
              <c16:uniqueId val="{00000002-4438-4BE7-91D4-433FAAB89397}"/>
            </c:ext>
          </c:extLst>
        </c:ser>
        <c:ser>
          <c:idx val="4"/>
          <c:order val="3"/>
          <c:tx>
            <c:strRef>
              <c:f>'5.2-5.4 Forhold; GSDF; forskel'!$A$24</c:f>
              <c:strCache>
                <c:ptCount val="1"/>
                <c:pt idx="0">
                  <c:v>Venstre Monitor</c:v>
                </c:pt>
              </c:strCache>
            </c:strRef>
          </c:tx>
          <c:spPr>
            <a:ln w="28575">
              <a:noFill/>
            </a:ln>
          </c:spPr>
          <c:marker>
            <c:symbol val="plus"/>
            <c:size val="5"/>
            <c:spPr>
              <a:noFill/>
              <a:ln>
                <a:solidFill>
                  <a:srgbClr val="000080"/>
                </a:solidFill>
                <a:prstDash val="solid"/>
              </a:ln>
            </c:spPr>
          </c:marker>
          <c:xVal>
            <c:numRef>
              <c:f>'5.2-5.4 Forhold; GSDF; forskel'!$H$37:$H$53</c:f>
              <c:numCache>
                <c:formatCode>0.00</c:formatCode>
                <c:ptCount val="17"/>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numCache>
            </c:numRef>
          </c:xVal>
          <c:yVal>
            <c:numRef>
              <c:f>'5.2-5.4 Forhold; GSDF; forskel'!$G$37:$G$53</c:f>
              <c:numCache>
                <c:formatCode>0.000</c:formatCode>
                <c:ptCount val="17"/>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numCache>
            </c:numRef>
          </c:yVal>
          <c:smooth val="1"/>
          <c:extLst>
            <c:ext xmlns:c16="http://schemas.microsoft.com/office/drawing/2014/chart" uri="{C3380CC4-5D6E-409C-BE32-E72D297353CC}">
              <c16:uniqueId val="{00000003-4438-4BE7-91D4-433FAAB89397}"/>
            </c:ext>
          </c:extLst>
        </c:ser>
        <c:ser>
          <c:idx val="1"/>
          <c:order val="4"/>
          <c:tx>
            <c:strRef>
              <c:f>'5.2-5.4 Forhold; GSDF; forskel'!$A$77</c:f>
              <c:strCache>
                <c:ptCount val="1"/>
                <c:pt idx="0">
                  <c:v>Højre Monitor</c:v>
                </c:pt>
              </c:strCache>
            </c:strRef>
          </c:tx>
          <c:spPr>
            <a:ln w="28575">
              <a:noFill/>
            </a:ln>
          </c:spPr>
          <c:marker>
            <c:symbol val="circle"/>
            <c:size val="5"/>
            <c:spPr>
              <a:noFill/>
              <a:ln>
                <a:solidFill>
                  <a:srgbClr val="FF00FF"/>
                </a:solidFill>
                <a:prstDash val="solid"/>
              </a:ln>
            </c:spPr>
          </c:marker>
          <c:xVal>
            <c:numRef>
              <c:f>'5.2-5.4 Forhold; GSDF; forskel'!$H$90:$H$106</c:f>
              <c:numCache>
                <c:formatCode>0.00</c:formatCode>
                <c:ptCount val="17"/>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numCache>
            </c:numRef>
          </c:xVal>
          <c:yVal>
            <c:numRef>
              <c:f>'5.2-5.4 Forhold; GSDF; forskel'!$G$90:$G$106</c:f>
              <c:numCache>
                <c:formatCode>0.000</c:formatCode>
                <c:ptCount val="17"/>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numCache>
            </c:numRef>
          </c:yVal>
          <c:smooth val="1"/>
          <c:extLst>
            <c:ext xmlns:c16="http://schemas.microsoft.com/office/drawing/2014/chart" uri="{C3380CC4-5D6E-409C-BE32-E72D297353CC}">
              <c16:uniqueId val="{00000004-4438-4BE7-91D4-433FAAB89397}"/>
            </c:ext>
          </c:extLst>
        </c:ser>
        <c:dLbls>
          <c:showLegendKey val="0"/>
          <c:showVal val="0"/>
          <c:showCatName val="0"/>
          <c:showSerName val="0"/>
          <c:showPercent val="0"/>
          <c:showBubbleSize val="0"/>
        </c:dLbls>
        <c:axId val="151804544"/>
        <c:axId val="151811200"/>
      </c:scatterChart>
      <c:valAx>
        <c:axId val="151804544"/>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da-DK"/>
                  <a:t>JND-indeks</a:t>
                </a:r>
              </a:p>
            </c:rich>
          </c:tx>
          <c:layout>
            <c:manualLayout>
              <c:xMode val="edge"/>
              <c:yMode val="edge"/>
              <c:x val="0.44637802883335237"/>
              <c:y val="0.9023453904199474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a-DK"/>
          </a:p>
        </c:txPr>
        <c:crossAx val="151811200"/>
        <c:crosses val="autoZero"/>
        <c:crossBetween val="midCat"/>
      </c:valAx>
      <c:valAx>
        <c:axId val="151811200"/>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da-DK"/>
                  <a:t>dL/L for JND</a:t>
                </a:r>
              </a:p>
            </c:rich>
          </c:tx>
          <c:layout>
            <c:manualLayout>
              <c:xMode val="edge"/>
              <c:yMode val="edge"/>
              <c:x val="3.2061878269730956E-3"/>
              <c:y val="0.34765707020997372"/>
            </c:manualLayout>
          </c:layout>
          <c:overlay val="0"/>
          <c:spPr>
            <a:noFill/>
            <a:ln w="25400">
              <a:noFill/>
            </a:ln>
          </c:spPr>
        </c:title>
        <c:numFmt formatCode="0.0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a-DK"/>
          </a:p>
        </c:txPr>
        <c:crossAx val="151804544"/>
        <c:crosses val="autoZero"/>
        <c:crossBetween val="midCat"/>
      </c:valAx>
      <c:spPr>
        <a:noFill/>
        <a:ln w="12700">
          <a:solidFill>
            <a:srgbClr val="808080"/>
          </a:solidFill>
          <a:prstDash val="solid"/>
        </a:ln>
      </c:spPr>
    </c:plotArea>
    <c:legend>
      <c:legendPos val="r"/>
      <c:layout>
        <c:manualLayout>
          <c:xMode val="edge"/>
          <c:yMode val="edge"/>
          <c:x val="0.59593728722066053"/>
          <c:y val="0.16875077247973241"/>
          <c:w val="0.34988742242122123"/>
          <c:h val="0.26250120163513929"/>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da-DK"/>
        </a:p>
      </c:txPr>
    </c:legend>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da-DK"/>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da-DK"/>
              <a:t>Luminansrespons</a:t>
            </a:r>
          </a:p>
        </c:rich>
      </c:tx>
      <c:layout>
        <c:manualLayout>
          <c:xMode val="edge"/>
          <c:yMode val="edge"/>
          <c:x val="0.30937500000000001"/>
          <c:y val="3.90625E-2"/>
        </c:manualLayout>
      </c:layout>
      <c:overlay val="0"/>
      <c:spPr>
        <a:noFill/>
        <a:ln w="25400">
          <a:noFill/>
        </a:ln>
      </c:spPr>
    </c:title>
    <c:autoTitleDeleted val="0"/>
    <c:plotArea>
      <c:layout>
        <c:manualLayout>
          <c:layoutTarget val="inner"/>
          <c:xMode val="edge"/>
          <c:yMode val="edge"/>
          <c:x val="0.12531459268526013"/>
          <c:y val="0.15312582020997376"/>
          <c:w val="0.8253280839895013"/>
          <c:h val="0.67812810422410985"/>
        </c:manualLayout>
      </c:layout>
      <c:scatterChart>
        <c:scatterStyle val="smoothMarker"/>
        <c:varyColors val="0"/>
        <c:ser>
          <c:idx val="0"/>
          <c:order val="0"/>
          <c:tx>
            <c:v>DICOM 3.14</c:v>
          </c:tx>
          <c:spPr>
            <a:ln w="12700">
              <a:solidFill>
                <a:srgbClr val="000000"/>
              </a:solidFill>
              <a:prstDash val="solid"/>
            </a:ln>
          </c:spPr>
          <c:marker>
            <c:symbol val="none"/>
          </c:marker>
          <c:xVal>
            <c:numRef>
              <c:f>'5.2-5.4 Forhold; GSDF; forskel'!$P$33:$P$50</c:f>
              <c:numCache>
                <c:formatCode>0.00</c:formatCode>
                <c:ptCount val="18"/>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numCache>
            </c:numRef>
          </c:xVal>
          <c:yVal>
            <c:numRef>
              <c:f>'5.2-5.4 Forhold; GSDF; forskel'!$O$33:$O$50</c:f>
              <c:numCache>
                <c:formatCode>0.00</c:formatCode>
                <c:ptCount val="18"/>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numCache>
            </c:numRef>
          </c:yVal>
          <c:smooth val="1"/>
          <c:extLst>
            <c:ext xmlns:c16="http://schemas.microsoft.com/office/drawing/2014/chart" uri="{C3380CC4-5D6E-409C-BE32-E72D297353CC}">
              <c16:uniqueId val="{00000000-A584-4D24-A259-14376282BBF2}"/>
            </c:ext>
          </c:extLst>
        </c:ser>
        <c:ser>
          <c:idx val="3"/>
          <c:order val="1"/>
          <c:tx>
            <c:strRef>
              <c:f>'5.2-5.4 Forhold; GSDF; forskel'!$A$24</c:f>
              <c:strCache>
                <c:ptCount val="1"/>
                <c:pt idx="0">
                  <c:v>Venstre Monitor</c:v>
                </c:pt>
              </c:strCache>
            </c:strRef>
          </c:tx>
          <c:spPr>
            <a:ln w="28575">
              <a:noFill/>
            </a:ln>
          </c:spPr>
          <c:marker>
            <c:symbol val="plus"/>
            <c:size val="4"/>
            <c:spPr>
              <a:noFill/>
              <a:ln>
                <a:solidFill>
                  <a:srgbClr val="000080"/>
                </a:solidFill>
                <a:prstDash val="solid"/>
              </a:ln>
            </c:spPr>
          </c:marker>
          <c:xVal>
            <c:numRef>
              <c:f>'5.2-5.4 Forhold; GSDF; forskel'!$E$36:$E$53</c:f>
              <c:numCache>
                <c:formatCode>0.00</c:formatCode>
                <c:ptCount val="18"/>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numCache>
            </c:numRef>
          </c:xVal>
          <c:yVal>
            <c:numRef>
              <c:f>'5.2-5.4 Forhold; GSDF; forskel'!$D$36:$D$53</c:f>
              <c:numCache>
                <c:formatCode>0.00</c:formatCode>
                <c:ptCount val="18"/>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numCache>
            </c:numRef>
          </c:yVal>
          <c:smooth val="1"/>
          <c:extLst>
            <c:ext xmlns:c16="http://schemas.microsoft.com/office/drawing/2014/chart" uri="{C3380CC4-5D6E-409C-BE32-E72D297353CC}">
              <c16:uniqueId val="{00000001-A584-4D24-A259-14376282BBF2}"/>
            </c:ext>
          </c:extLst>
        </c:ser>
        <c:ser>
          <c:idx val="1"/>
          <c:order val="2"/>
          <c:tx>
            <c:strRef>
              <c:f>'5.2-5.4 Forhold; GSDF; forskel'!$A$77</c:f>
              <c:strCache>
                <c:ptCount val="1"/>
                <c:pt idx="0">
                  <c:v>Højre Monitor</c:v>
                </c:pt>
              </c:strCache>
            </c:strRef>
          </c:tx>
          <c:spPr>
            <a:ln w="28575">
              <a:noFill/>
            </a:ln>
          </c:spPr>
          <c:marker>
            <c:symbol val="circle"/>
            <c:size val="5"/>
            <c:spPr>
              <a:noFill/>
              <a:ln>
                <a:solidFill>
                  <a:srgbClr val="FF00FF"/>
                </a:solidFill>
                <a:prstDash val="solid"/>
              </a:ln>
            </c:spPr>
          </c:marker>
          <c:xVal>
            <c:numRef>
              <c:f>'5.2-5.4 Forhold; GSDF; forskel'!$E$89:$E$106</c:f>
              <c:numCache>
                <c:formatCode>0.00</c:formatCode>
                <c:ptCount val="18"/>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numCache>
            </c:numRef>
          </c:xVal>
          <c:yVal>
            <c:numRef>
              <c:f>'5.2-5.4 Forhold; GSDF; forskel'!$D$89:$D$106</c:f>
              <c:numCache>
                <c:formatCode>0.00</c:formatCode>
                <c:ptCount val="18"/>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numCache>
            </c:numRef>
          </c:yVal>
          <c:smooth val="1"/>
          <c:extLst>
            <c:ext xmlns:c16="http://schemas.microsoft.com/office/drawing/2014/chart" uri="{C3380CC4-5D6E-409C-BE32-E72D297353CC}">
              <c16:uniqueId val="{00000002-A584-4D24-A259-14376282BBF2}"/>
            </c:ext>
          </c:extLst>
        </c:ser>
        <c:dLbls>
          <c:showLegendKey val="0"/>
          <c:showVal val="0"/>
          <c:showCatName val="0"/>
          <c:showSerName val="0"/>
          <c:showPercent val="0"/>
          <c:showBubbleSize val="0"/>
        </c:dLbls>
        <c:axId val="151845504"/>
        <c:axId val="152315008"/>
      </c:scatterChart>
      <c:valAx>
        <c:axId val="151845504"/>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da-DK"/>
                  <a:t>JND-indeks</a:t>
                </a:r>
              </a:p>
            </c:rich>
          </c:tx>
          <c:layout>
            <c:manualLayout>
              <c:xMode val="edge"/>
              <c:yMode val="edge"/>
              <c:x val="0.40937499999999999"/>
              <c:y val="0.9023453904199474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a-DK"/>
          </a:p>
        </c:txPr>
        <c:crossAx val="152315008"/>
        <c:crossesAt val="1E-3"/>
        <c:crossBetween val="midCat"/>
      </c:valAx>
      <c:valAx>
        <c:axId val="152315008"/>
        <c:scaling>
          <c:logBase val="10"/>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da-DK"/>
                  <a:t>Luminans</a:t>
                </a:r>
                <a:r>
                  <a:rPr lang="da-DK" baseline="0"/>
                  <a:t> </a:t>
                </a:r>
                <a:r>
                  <a:rPr lang="da-DK"/>
                  <a:t> (cd/m²)</a:t>
                </a:r>
              </a:p>
            </c:rich>
          </c:tx>
          <c:layout>
            <c:manualLayout>
              <c:xMode val="edge"/>
              <c:yMode val="edge"/>
              <c:x val="7.8369146613682644E-3"/>
              <c:y val="0.3502608267716535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a-DK"/>
          </a:p>
        </c:txPr>
        <c:crossAx val="151845504"/>
        <c:crosses val="autoZero"/>
        <c:crossBetween val="midCat"/>
      </c:valAx>
      <c:spPr>
        <a:noFill/>
        <a:ln w="12700">
          <a:solidFill>
            <a:srgbClr val="808080"/>
          </a:solidFill>
          <a:prstDash val="solid"/>
        </a:ln>
      </c:spPr>
    </c:plotArea>
    <c:legend>
      <c:legendPos val="r"/>
      <c:layout>
        <c:manualLayout>
          <c:xMode val="edge"/>
          <c:yMode val="edge"/>
          <c:x val="0.61915940827791438"/>
          <c:y val="0.64375294686712736"/>
          <c:w val="0.31074792943759483"/>
          <c:h val="0.15312570095383127"/>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da-DK"/>
        </a:p>
      </c:txPr>
    </c:legend>
    <c:plotVisOnly val="0"/>
    <c:dispBlanksAs val="gap"/>
    <c:showDLblsOverMax val="0"/>
  </c:chart>
  <c:spPr>
    <a:solidFill>
      <a:srgbClr val="FFFFFF"/>
    </a:solidFill>
    <a:ln w="3175">
      <a:solidFill>
        <a:srgbClr val="000000"/>
      </a:solidFill>
      <a:prstDash val="solid"/>
    </a:ln>
  </c:spPr>
  <c:txPr>
    <a:bodyPr/>
    <a:lstStyle/>
    <a:p>
      <a:pPr>
        <a:defRPr sz="575" b="0" i="0" u="none" strike="noStrike" baseline="0">
          <a:solidFill>
            <a:srgbClr val="000000"/>
          </a:solidFill>
          <a:latin typeface="Arial"/>
          <a:ea typeface="Arial"/>
          <a:cs typeface="Arial"/>
        </a:defRPr>
      </a:pPr>
      <a:endParaRPr lang="da-DK"/>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da-DK"/>
              <a:t>Kontrastrespons</a:t>
            </a:r>
          </a:p>
        </c:rich>
      </c:tx>
      <c:layout>
        <c:manualLayout>
          <c:xMode val="edge"/>
          <c:yMode val="edge"/>
          <c:x val="0.34492844916124615"/>
          <c:y val="3.90625E-2"/>
        </c:manualLayout>
      </c:layout>
      <c:overlay val="0"/>
      <c:spPr>
        <a:noFill/>
        <a:ln w="25400">
          <a:noFill/>
        </a:ln>
      </c:spPr>
    </c:title>
    <c:autoTitleDeleted val="0"/>
    <c:plotArea>
      <c:layout>
        <c:manualLayout>
          <c:layoutTarget val="inner"/>
          <c:xMode val="edge"/>
          <c:yMode val="edge"/>
          <c:x val="0.17381504210602602"/>
          <c:y val="0.15000068664865104"/>
          <c:w val="0.80135506425505498"/>
          <c:h val="0.67500308991892966"/>
        </c:manualLayout>
      </c:layout>
      <c:scatterChart>
        <c:scatterStyle val="smoothMarker"/>
        <c:varyColors val="0"/>
        <c:ser>
          <c:idx val="0"/>
          <c:order val="0"/>
          <c:tx>
            <c:v>DICOM 3.14</c:v>
          </c:tx>
          <c:spPr>
            <a:ln w="12700">
              <a:solidFill>
                <a:srgbClr val="000000"/>
              </a:solidFill>
              <a:prstDash val="solid"/>
            </a:ln>
          </c:spPr>
          <c:marker>
            <c:symbol val="none"/>
          </c:marker>
          <c:xVal>
            <c:numRef>
              <c:f>'5.2-5.4 Forhold; GSDF; forskel'!$AZ$34:$AZ$43</c:f>
              <c:numCache>
                <c:formatCode>0.00</c:formatCode>
                <c:ptCount val="10"/>
                <c:pt idx="0">
                  <c:v>#N/A</c:v>
                </c:pt>
                <c:pt idx="1">
                  <c:v>#N/A</c:v>
                </c:pt>
                <c:pt idx="2">
                  <c:v>#N/A</c:v>
                </c:pt>
                <c:pt idx="3">
                  <c:v>#N/A</c:v>
                </c:pt>
                <c:pt idx="4">
                  <c:v>#N/A</c:v>
                </c:pt>
                <c:pt idx="5">
                  <c:v>#N/A</c:v>
                </c:pt>
                <c:pt idx="6">
                  <c:v>#N/A</c:v>
                </c:pt>
                <c:pt idx="7">
                  <c:v>#N/A</c:v>
                </c:pt>
                <c:pt idx="8">
                  <c:v>#N/A</c:v>
                </c:pt>
                <c:pt idx="9">
                  <c:v>#N/A</c:v>
                </c:pt>
              </c:numCache>
            </c:numRef>
          </c:xVal>
          <c:yVal>
            <c:numRef>
              <c:f>'5.2-5.4 Forhold; GSDF; forskel'!$AW$34:$AW$43</c:f>
              <c:numCache>
                <c:formatCode>0.000</c:formatCode>
                <c:ptCount val="10"/>
                <c:pt idx="0">
                  <c:v>#N/A</c:v>
                </c:pt>
                <c:pt idx="1">
                  <c:v>#N/A</c:v>
                </c:pt>
                <c:pt idx="2">
                  <c:v>#N/A</c:v>
                </c:pt>
                <c:pt idx="3">
                  <c:v>#N/A</c:v>
                </c:pt>
                <c:pt idx="4">
                  <c:v>#N/A</c:v>
                </c:pt>
                <c:pt idx="5">
                  <c:v>#N/A</c:v>
                </c:pt>
                <c:pt idx="6">
                  <c:v>#N/A</c:v>
                </c:pt>
                <c:pt idx="7">
                  <c:v>#N/A</c:v>
                </c:pt>
                <c:pt idx="8">
                  <c:v>#N/A</c:v>
                </c:pt>
                <c:pt idx="9">
                  <c:v>#N/A</c:v>
                </c:pt>
              </c:numCache>
            </c:numRef>
          </c:yVal>
          <c:smooth val="1"/>
          <c:extLst>
            <c:ext xmlns:c16="http://schemas.microsoft.com/office/drawing/2014/chart" uri="{C3380CC4-5D6E-409C-BE32-E72D297353CC}">
              <c16:uniqueId val="{00000000-2E90-4C8F-9652-A024856F6DCB}"/>
            </c:ext>
          </c:extLst>
        </c:ser>
        <c:ser>
          <c:idx val="2"/>
          <c:order val="1"/>
          <c:tx>
            <c:strRef>
              <c:f>'5.2-5.4 Forhold; GSDF; forskel'!$AX$32</c:f>
              <c:strCache>
                <c:ptCount val="1"/>
                <c:pt idx="0">
                  <c:v>+15%</c:v>
                </c:pt>
              </c:strCache>
            </c:strRef>
          </c:tx>
          <c:spPr>
            <a:ln w="12700">
              <a:solidFill>
                <a:srgbClr val="000000"/>
              </a:solidFill>
              <a:prstDash val="sysDash"/>
            </a:ln>
          </c:spPr>
          <c:marker>
            <c:symbol val="none"/>
          </c:marker>
          <c:xVal>
            <c:numRef>
              <c:f>'5.2-5.4 Forhold; GSDF; forskel'!$AZ$34:$AZ$43</c:f>
              <c:numCache>
                <c:formatCode>0.00</c:formatCode>
                <c:ptCount val="10"/>
                <c:pt idx="0">
                  <c:v>#N/A</c:v>
                </c:pt>
                <c:pt idx="1">
                  <c:v>#N/A</c:v>
                </c:pt>
                <c:pt idx="2">
                  <c:v>#N/A</c:v>
                </c:pt>
                <c:pt idx="3">
                  <c:v>#N/A</c:v>
                </c:pt>
                <c:pt idx="4">
                  <c:v>#N/A</c:v>
                </c:pt>
                <c:pt idx="5">
                  <c:v>#N/A</c:v>
                </c:pt>
                <c:pt idx="6">
                  <c:v>#N/A</c:v>
                </c:pt>
                <c:pt idx="7">
                  <c:v>#N/A</c:v>
                </c:pt>
                <c:pt idx="8">
                  <c:v>#N/A</c:v>
                </c:pt>
                <c:pt idx="9">
                  <c:v>#N/A</c:v>
                </c:pt>
              </c:numCache>
            </c:numRef>
          </c:xVal>
          <c:yVal>
            <c:numRef>
              <c:f>'5.2-5.4 Forhold; GSDF; forskel'!$AX$34:$AX$43</c:f>
              <c:numCache>
                <c:formatCode>0.000</c:formatCode>
                <c:ptCount val="10"/>
                <c:pt idx="0">
                  <c:v>#N/A</c:v>
                </c:pt>
                <c:pt idx="1">
                  <c:v>#N/A</c:v>
                </c:pt>
                <c:pt idx="2">
                  <c:v>#N/A</c:v>
                </c:pt>
                <c:pt idx="3">
                  <c:v>#N/A</c:v>
                </c:pt>
                <c:pt idx="4">
                  <c:v>#N/A</c:v>
                </c:pt>
                <c:pt idx="5">
                  <c:v>#N/A</c:v>
                </c:pt>
                <c:pt idx="6">
                  <c:v>#N/A</c:v>
                </c:pt>
                <c:pt idx="7">
                  <c:v>#N/A</c:v>
                </c:pt>
                <c:pt idx="8">
                  <c:v>#N/A</c:v>
                </c:pt>
                <c:pt idx="9">
                  <c:v>#N/A</c:v>
                </c:pt>
              </c:numCache>
            </c:numRef>
          </c:yVal>
          <c:smooth val="1"/>
          <c:extLst>
            <c:ext xmlns:c16="http://schemas.microsoft.com/office/drawing/2014/chart" uri="{C3380CC4-5D6E-409C-BE32-E72D297353CC}">
              <c16:uniqueId val="{00000001-2E90-4C8F-9652-A024856F6DCB}"/>
            </c:ext>
          </c:extLst>
        </c:ser>
        <c:ser>
          <c:idx val="3"/>
          <c:order val="2"/>
          <c:tx>
            <c:strRef>
              <c:f>'5.2-5.4 Forhold; GSDF; forskel'!$AY$32</c:f>
              <c:strCache>
                <c:ptCount val="1"/>
                <c:pt idx="0">
                  <c:v>-15%</c:v>
                </c:pt>
              </c:strCache>
            </c:strRef>
          </c:tx>
          <c:spPr>
            <a:ln w="12700">
              <a:solidFill>
                <a:srgbClr val="000000"/>
              </a:solidFill>
              <a:prstDash val="sysDash"/>
            </a:ln>
          </c:spPr>
          <c:marker>
            <c:symbol val="none"/>
          </c:marker>
          <c:xVal>
            <c:numRef>
              <c:f>'5.2-5.4 Forhold; GSDF; forskel'!$AZ$34:$AZ$43</c:f>
              <c:numCache>
                <c:formatCode>0.00</c:formatCode>
                <c:ptCount val="10"/>
                <c:pt idx="0">
                  <c:v>#N/A</c:v>
                </c:pt>
                <c:pt idx="1">
                  <c:v>#N/A</c:v>
                </c:pt>
                <c:pt idx="2">
                  <c:v>#N/A</c:v>
                </c:pt>
                <c:pt idx="3">
                  <c:v>#N/A</c:v>
                </c:pt>
                <c:pt idx="4">
                  <c:v>#N/A</c:v>
                </c:pt>
                <c:pt idx="5">
                  <c:v>#N/A</c:v>
                </c:pt>
                <c:pt idx="6">
                  <c:v>#N/A</c:v>
                </c:pt>
                <c:pt idx="7">
                  <c:v>#N/A</c:v>
                </c:pt>
                <c:pt idx="8">
                  <c:v>#N/A</c:v>
                </c:pt>
                <c:pt idx="9">
                  <c:v>#N/A</c:v>
                </c:pt>
              </c:numCache>
            </c:numRef>
          </c:xVal>
          <c:yVal>
            <c:numRef>
              <c:f>'5.2-5.4 Forhold; GSDF; forskel'!$AY$34:$AY$43</c:f>
              <c:numCache>
                <c:formatCode>0.000</c:formatCode>
                <c:ptCount val="10"/>
                <c:pt idx="0">
                  <c:v>#N/A</c:v>
                </c:pt>
                <c:pt idx="1">
                  <c:v>#N/A</c:v>
                </c:pt>
                <c:pt idx="2">
                  <c:v>#N/A</c:v>
                </c:pt>
                <c:pt idx="3">
                  <c:v>#N/A</c:v>
                </c:pt>
                <c:pt idx="4">
                  <c:v>#N/A</c:v>
                </c:pt>
                <c:pt idx="5">
                  <c:v>#N/A</c:v>
                </c:pt>
                <c:pt idx="6">
                  <c:v>#N/A</c:v>
                </c:pt>
                <c:pt idx="7">
                  <c:v>#N/A</c:v>
                </c:pt>
                <c:pt idx="8">
                  <c:v>#N/A</c:v>
                </c:pt>
                <c:pt idx="9">
                  <c:v>#N/A</c:v>
                </c:pt>
              </c:numCache>
            </c:numRef>
          </c:yVal>
          <c:smooth val="1"/>
          <c:extLst>
            <c:ext xmlns:c16="http://schemas.microsoft.com/office/drawing/2014/chart" uri="{C3380CC4-5D6E-409C-BE32-E72D297353CC}">
              <c16:uniqueId val="{00000002-2E90-4C8F-9652-A024856F6DCB}"/>
            </c:ext>
          </c:extLst>
        </c:ser>
        <c:ser>
          <c:idx val="4"/>
          <c:order val="3"/>
          <c:tx>
            <c:strRef>
              <c:f>'5.2-5.4 Forhold; GSDF; forskel'!$AB$24</c:f>
              <c:strCache>
                <c:ptCount val="1"/>
                <c:pt idx="0">
                  <c:v>Venstre Monitor</c:v>
                </c:pt>
              </c:strCache>
            </c:strRef>
          </c:tx>
          <c:spPr>
            <a:ln w="28575">
              <a:noFill/>
            </a:ln>
          </c:spPr>
          <c:marker>
            <c:symbol val="plus"/>
            <c:size val="5"/>
            <c:spPr>
              <a:noFill/>
              <a:ln>
                <a:solidFill>
                  <a:srgbClr val="000080"/>
                </a:solidFill>
                <a:prstDash val="solid"/>
              </a:ln>
            </c:spPr>
          </c:marker>
          <c:xVal>
            <c:numRef>
              <c:f>'5.2-5.4 Forhold; GSDF; forskel'!$AI$37:$AI$46</c:f>
              <c:numCache>
                <c:formatCode>0.00</c:formatCode>
                <c:ptCount val="10"/>
                <c:pt idx="0">
                  <c:v>#N/A</c:v>
                </c:pt>
                <c:pt idx="1">
                  <c:v>#N/A</c:v>
                </c:pt>
                <c:pt idx="2">
                  <c:v>#N/A</c:v>
                </c:pt>
                <c:pt idx="3">
                  <c:v>#N/A</c:v>
                </c:pt>
                <c:pt idx="4">
                  <c:v>#N/A</c:v>
                </c:pt>
                <c:pt idx="5">
                  <c:v>#N/A</c:v>
                </c:pt>
                <c:pt idx="6">
                  <c:v>#N/A</c:v>
                </c:pt>
                <c:pt idx="7">
                  <c:v>#N/A</c:v>
                </c:pt>
                <c:pt idx="8">
                  <c:v>#N/A</c:v>
                </c:pt>
                <c:pt idx="9">
                  <c:v>#N/A</c:v>
                </c:pt>
              </c:numCache>
            </c:numRef>
          </c:xVal>
          <c:yVal>
            <c:numRef>
              <c:f>'5.2-5.4 Forhold; GSDF; forskel'!$AH$37:$AH$46</c:f>
              <c:numCache>
                <c:formatCode>0.000</c:formatCode>
                <c:ptCount val="10"/>
                <c:pt idx="0">
                  <c:v>#N/A</c:v>
                </c:pt>
                <c:pt idx="1">
                  <c:v>#N/A</c:v>
                </c:pt>
                <c:pt idx="2">
                  <c:v>#N/A</c:v>
                </c:pt>
                <c:pt idx="3">
                  <c:v>#N/A</c:v>
                </c:pt>
                <c:pt idx="4">
                  <c:v>#N/A</c:v>
                </c:pt>
                <c:pt idx="5">
                  <c:v>#N/A</c:v>
                </c:pt>
                <c:pt idx="6">
                  <c:v>#N/A</c:v>
                </c:pt>
                <c:pt idx="7">
                  <c:v>#N/A</c:v>
                </c:pt>
                <c:pt idx="8">
                  <c:v>#N/A</c:v>
                </c:pt>
                <c:pt idx="9">
                  <c:v>#N/A</c:v>
                </c:pt>
              </c:numCache>
            </c:numRef>
          </c:yVal>
          <c:smooth val="1"/>
          <c:extLst>
            <c:ext xmlns:c16="http://schemas.microsoft.com/office/drawing/2014/chart" uri="{C3380CC4-5D6E-409C-BE32-E72D297353CC}">
              <c16:uniqueId val="{00000003-2E90-4C8F-9652-A024856F6DCB}"/>
            </c:ext>
          </c:extLst>
        </c:ser>
        <c:ser>
          <c:idx val="1"/>
          <c:order val="4"/>
          <c:tx>
            <c:strRef>
              <c:f>'5.2-5.4 Forhold; GSDF; forskel'!$AB$70</c:f>
              <c:strCache>
                <c:ptCount val="1"/>
                <c:pt idx="0">
                  <c:v>Højre Monitor</c:v>
                </c:pt>
              </c:strCache>
            </c:strRef>
          </c:tx>
          <c:spPr>
            <a:ln w="28575">
              <a:noFill/>
            </a:ln>
          </c:spPr>
          <c:marker>
            <c:symbol val="circle"/>
            <c:size val="5"/>
            <c:spPr>
              <a:noFill/>
              <a:ln>
                <a:solidFill>
                  <a:srgbClr val="FF00FF"/>
                </a:solidFill>
                <a:prstDash val="solid"/>
              </a:ln>
            </c:spPr>
          </c:marker>
          <c:xVal>
            <c:numRef>
              <c:f>'5.2-5.4 Forhold; GSDF; forskel'!$AI$85:$AI$94</c:f>
              <c:numCache>
                <c:formatCode>0.00</c:formatCode>
                <c:ptCount val="10"/>
                <c:pt idx="0">
                  <c:v>#N/A</c:v>
                </c:pt>
                <c:pt idx="1">
                  <c:v>#N/A</c:v>
                </c:pt>
                <c:pt idx="2">
                  <c:v>#N/A</c:v>
                </c:pt>
                <c:pt idx="3">
                  <c:v>#N/A</c:v>
                </c:pt>
                <c:pt idx="4">
                  <c:v>#N/A</c:v>
                </c:pt>
                <c:pt idx="5">
                  <c:v>#N/A</c:v>
                </c:pt>
                <c:pt idx="6">
                  <c:v>#N/A</c:v>
                </c:pt>
                <c:pt idx="7">
                  <c:v>#N/A</c:v>
                </c:pt>
                <c:pt idx="8">
                  <c:v>#N/A</c:v>
                </c:pt>
                <c:pt idx="9">
                  <c:v>#N/A</c:v>
                </c:pt>
              </c:numCache>
            </c:numRef>
          </c:xVal>
          <c:yVal>
            <c:numRef>
              <c:f>'5.2-5.4 Forhold; GSDF; forskel'!$AH$85:$AH$94</c:f>
              <c:numCache>
                <c:formatCode>0.000</c:formatCode>
                <c:ptCount val="10"/>
                <c:pt idx="0">
                  <c:v>#N/A</c:v>
                </c:pt>
                <c:pt idx="1">
                  <c:v>#N/A</c:v>
                </c:pt>
                <c:pt idx="2">
                  <c:v>#N/A</c:v>
                </c:pt>
                <c:pt idx="3">
                  <c:v>#N/A</c:v>
                </c:pt>
                <c:pt idx="4">
                  <c:v>#N/A</c:v>
                </c:pt>
                <c:pt idx="5">
                  <c:v>#N/A</c:v>
                </c:pt>
                <c:pt idx="6">
                  <c:v>#N/A</c:v>
                </c:pt>
                <c:pt idx="7">
                  <c:v>#N/A</c:v>
                </c:pt>
                <c:pt idx="8">
                  <c:v>#N/A</c:v>
                </c:pt>
                <c:pt idx="9">
                  <c:v>#N/A</c:v>
                </c:pt>
              </c:numCache>
            </c:numRef>
          </c:yVal>
          <c:smooth val="1"/>
          <c:extLst>
            <c:ext xmlns:c16="http://schemas.microsoft.com/office/drawing/2014/chart" uri="{C3380CC4-5D6E-409C-BE32-E72D297353CC}">
              <c16:uniqueId val="{00000004-2E90-4C8F-9652-A024856F6DCB}"/>
            </c:ext>
          </c:extLst>
        </c:ser>
        <c:dLbls>
          <c:showLegendKey val="0"/>
          <c:showVal val="0"/>
          <c:showCatName val="0"/>
          <c:showSerName val="0"/>
          <c:showPercent val="0"/>
          <c:showBubbleSize val="0"/>
        </c:dLbls>
        <c:axId val="151900928"/>
        <c:axId val="151903232"/>
      </c:scatterChart>
      <c:valAx>
        <c:axId val="151900928"/>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da-DK"/>
                  <a:t>JND-indeks</a:t>
                </a:r>
              </a:p>
            </c:rich>
          </c:tx>
          <c:layout>
            <c:manualLayout>
              <c:xMode val="edge"/>
              <c:yMode val="edge"/>
              <c:x val="0.44637802883335237"/>
              <c:y val="0.9023453904199474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a-DK"/>
          </a:p>
        </c:txPr>
        <c:crossAx val="151903232"/>
        <c:crosses val="autoZero"/>
        <c:crossBetween val="midCat"/>
      </c:valAx>
      <c:valAx>
        <c:axId val="151903232"/>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da-DK"/>
                  <a:t>dL/L for JND</a:t>
                </a:r>
              </a:p>
            </c:rich>
          </c:tx>
          <c:layout>
            <c:manualLayout>
              <c:xMode val="edge"/>
              <c:yMode val="edge"/>
              <c:x val="3.2061878269730956E-3"/>
              <c:y val="0.35286540354330703"/>
            </c:manualLayout>
          </c:layout>
          <c:overlay val="0"/>
          <c:spPr>
            <a:noFill/>
            <a:ln w="25400">
              <a:noFill/>
            </a:ln>
          </c:spPr>
        </c:title>
        <c:numFmt formatCode="0.0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a-DK"/>
          </a:p>
        </c:txPr>
        <c:crossAx val="151900928"/>
        <c:crosses val="autoZero"/>
        <c:crossBetween val="midCat"/>
      </c:valAx>
      <c:spPr>
        <a:noFill/>
        <a:ln w="12700">
          <a:solidFill>
            <a:srgbClr val="808080"/>
          </a:solidFill>
          <a:prstDash val="solid"/>
        </a:ln>
      </c:spPr>
    </c:plotArea>
    <c:legend>
      <c:legendPos val="r"/>
      <c:layout>
        <c:manualLayout>
          <c:xMode val="edge"/>
          <c:yMode val="edge"/>
          <c:x val="0.59593728722066053"/>
          <c:y val="0.16875077247973241"/>
          <c:w val="0.34988742242122123"/>
          <c:h val="0.26250120163513929"/>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da-DK"/>
        </a:p>
      </c:txPr>
    </c:legend>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da-DK"/>
    </a:p>
  </c:txPr>
  <c:printSettings>
    <c:headerFooter alignWithMargins="0"/>
    <c:pageMargins b="1" l="0.75" r="0.75"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da-DK"/>
              <a:t>Luminansrespons</a:t>
            </a:r>
          </a:p>
        </c:rich>
      </c:tx>
      <c:layout>
        <c:manualLayout>
          <c:xMode val="edge"/>
          <c:yMode val="edge"/>
          <c:x val="0.30937500000000001"/>
          <c:y val="3.90625E-2"/>
        </c:manualLayout>
      </c:layout>
      <c:overlay val="0"/>
      <c:spPr>
        <a:noFill/>
        <a:ln w="25400">
          <a:noFill/>
        </a:ln>
      </c:spPr>
    </c:title>
    <c:autoTitleDeleted val="0"/>
    <c:plotArea>
      <c:layout>
        <c:manualLayout>
          <c:layoutTarget val="inner"/>
          <c:xMode val="edge"/>
          <c:yMode val="edge"/>
          <c:x val="0.11363234969460594"/>
          <c:y val="0.15312570095383127"/>
          <c:w val="0.83701032698015554"/>
          <c:h val="0.67812810422410985"/>
        </c:manualLayout>
      </c:layout>
      <c:scatterChart>
        <c:scatterStyle val="smoothMarker"/>
        <c:varyColors val="0"/>
        <c:ser>
          <c:idx val="0"/>
          <c:order val="0"/>
          <c:tx>
            <c:v>DICOM 3.14</c:v>
          </c:tx>
          <c:spPr>
            <a:ln w="12700">
              <a:solidFill>
                <a:srgbClr val="000000"/>
              </a:solidFill>
              <a:prstDash val="solid"/>
            </a:ln>
          </c:spPr>
          <c:marker>
            <c:symbol val="none"/>
          </c:marker>
          <c:xVal>
            <c:numRef>
              <c:f>'5.2-5.4 Forhold; GSDF; forskel'!$AQ$33:$AQ$43</c:f>
              <c:numCache>
                <c:formatCode>0.00</c:formatCode>
                <c:ptCount val="11"/>
                <c:pt idx="0">
                  <c:v>#N/A</c:v>
                </c:pt>
                <c:pt idx="1">
                  <c:v>#N/A</c:v>
                </c:pt>
                <c:pt idx="2">
                  <c:v>#N/A</c:v>
                </c:pt>
                <c:pt idx="3">
                  <c:v>#N/A</c:v>
                </c:pt>
                <c:pt idx="4">
                  <c:v>#N/A</c:v>
                </c:pt>
                <c:pt idx="5">
                  <c:v>#N/A</c:v>
                </c:pt>
                <c:pt idx="6">
                  <c:v>#N/A</c:v>
                </c:pt>
                <c:pt idx="7">
                  <c:v>#N/A</c:v>
                </c:pt>
                <c:pt idx="8">
                  <c:v>#N/A</c:v>
                </c:pt>
                <c:pt idx="9">
                  <c:v>#N/A</c:v>
                </c:pt>
                <c:pt idx="10">
                  <c:v>#N/A</c:v>
                </c:pt>
              </c:numCache>
            </c:numRef>
          </c:xVal>
          <c:yVal>
            <c:numRef>
              <c:f>'5.2-5.4 Forhold; GSDF; forskel'!$AP$33:$AP$43</c:f>
              <c:numCache>
                <c:formatCode>0.00</c:formatCode>
                <c:ptCount val="11"/>
                <c:pt idx="0">
                  <c:v>#N/A</c:v>
                </c:pt>
                <c:pt idx="1">
                  <c:v>#N/A</c:v>
                </c:pt>
                <c:pt idx="2">
                  <c:v>#N/A</c:v>
                </c:pt>
                <c:pt idx="3">
                  <c:v>#N/A</c:v>
                </c:pt>
                <c:pt idx="4">
                  <c:v>#N/A</c:v>
                </c:pt>
                <c:pt idx="5">
                  <c:v>#N/A</c:v>
                </c:pt>
                <c:pt idx="6">
                  <c:v>#N/A</c:v>
                </c:pt>
                <c:pt idx="7">
                  <c:v>#N/A</c:v>
                </c:pt>
                <c:pt idx="8">
                  <c:v>#N/A</c:v>
                </c:pt>
                <c:pt idx="9">
                  <c:v>#N/A</c:v>
                </c:pt>
                <c:pt idx="10">
                  <c:v>#N/A</c:v>
                </c:pt>
              </c:numCache>
            </c:numRef>
          </c:yVal>
          <c:smooth val="1"/>
          <c:extLst>
            <c:ext xmlns:c16="http://schemas.microsoft.com/office/drawing/2014/chart" uri="{C3380CC4-5D6E-409C-BE32-E72D297353CC}">
              <c16:uniqueId val="{00000000-5629-48F7-BE50-66BB2FD1DB62}"/>
            </c:ext>
          </c:extLst>
        </c:ser>
        <c:ser>
          <c:idx val="3"/>
          <c:order val="1"/>
          <c:tx>
            <c:strRef>
              <c:f>'5.2-5.4 Forhold; GSDF; forskel'!$AB$24</c:f>
              <c:strCache>
                <c:ptCount val="1"/>
                <c:pt idx="0">
                  <c:v>Venstre Monitor</c:v>
                </c:pt>
              </c:strCache>
            </c:strRef>
          </c:tx>
          <c:spPr>
            <a:ln w="28575">
              <a:noFill/>
            </a:ln>
          </c:spPr>
          <c:marker>
            <c:symbol val="plus"/>
            <c:size val="4"/>
            <c:spPr>
              <a:noFill/>
              <a:ln>
                <a:solidFill>
                  <a:srgbClr val="000080"/>
                </a:solidFill>
                <a:prstDash val="solid"/>
              </a:ln>
            </c:spPr>
          </c:marker>
          <c:xVal>
            <c:numRef>
              <c:f>'5.2-5.4 Forhold; GSDF; forskel'!$AF$36:$AF$46</c:f>
              <c:numCache>
                <c:formatCode>0.00</c:formatCode>
                <c:ptCount val="11"/>
                <c:pt idx="0">
                  <c:v>#N/A</c:v>
                </c:pt>
                <c:pt idx="1">
                  <c:v>#N/A</c:v>
                </c:pt>
                <c:pt idx="2">
                  <c:v>#N/A</c:v>
                </c:pt>
                <c:pt idx="3">
                  <c:v>#N/A</c:v>
                </c:pt>
                <c:pt idx="4">
                  <c:v>#N/A</c:v>
                </c:pt>
                <c:pt idx="5">
                  <c:v>#N/A</c:v>
                </c:pt>
                <c:pt idx="6">
                  <c:v>#N/A</c:v>
                </c:pt>
                <c:pt idx="7">
                  <c:v>#N/A</c:v>
                </c:pt>
                <c:pt idx="8">
                  <c:v>#N/A</c:v>
                </c:pt>
                <c:pt idx="9">
                  <c:v>#N/A</c:v>
                </c:pt>
                <c:pt idx="10">
                  <c:v>#N/A</c:v>
                </c:pt>
              </c:numCache>
            </c:numRef>
          </c:xVal>
          <c:yVal>
            <c:numRef>
              <c:f>'5.2-5.4 Forhold; GSDF; forskel'!$AE$36:$AE$46</c:f>
              <c:numCache>
                <c:formatCode>0.00</c:formatCode>
                <c:ptCount val="11"/>
                <c:pt idx="0">
                  <c:v>#N/A</c:v>
                </c:pt>
                <c:pt idx="1">
                  <c:v>#N/A</c:v>
                </c:pt>
                <c:pt idx="2">
                  <c:v>#N/A</c:v>
                </c:pt>
                <c:pt idx="3">
                  <c:v>#N/A</c:v>
                </c:pt>
                <c:pt idx="4">
                  <c:v>#N/A</c:v>
                </c:pt>
                <c:pt idx="5">
                  <c:v>#N/A</c:v>
                </c:pt>
                <c:pt idx="6">
                  <c:v>#N/A</c:v>
                </c:pt>
                <c:pt idx="7">
                  <c:v>#N/A</c:v>
                </c:pt>
                <c:pt idx="8">
                  <c:v>#N/A</c:v>
                </c:pt>
                <c:pt idx="9">
                  <c:v>#N/A</c:v>
                </c:pt>
                <c:pt idx="10">
                  <c:v>#N/A</c:v>
                </c:pt>
              </c:numCache>
            </c:numRef>
          </c:yVal>
          <c:smooth val="1"/>
          <c:extLst>
            <c:ext xmlns:c16="http://schemas.microsoft.com/office/drawing/2014/chart" uri="{C3380CC4-5D6E-409C-BE32-E72D297353CC}">
              <c16:uniqueId val="{00000001-5629-48F7-BE50-66BB2FD1DB62}"/>
            </c:ext>
          </c:extLst>
        </c:ser>
        <c:ser>
          <c:idx val="1"/>
          <c:order val="2"/>
          <c:tx>
            <c:strRef>
              <c:f>'5.2-5.4 Forhold; GSDF; forskel'!$AB$70</c:f>
              <c:strCache>
                <c:ptCount val="1"/>
                <c:pt idx="0">
                  <c:v>Højre Monitor</c:v>
                </c:pt>
              </c:strCache>
            </c:strRef>
          </c:tx>
          <c:spPr>
            <a:ln w="28575">
              <a:noFill/>
            </a:ln>
          </c:spPr>
          <c:marker>
            <c:symbol val="circle"/>
            <c:size val="5"/>
            <c:spPr>
              <a:noFill/>
              <a:ln>
                <a:solidFill>
                  <a:srgbClr val="FF00FF"/>
                </a:solidFill>
                <a:prstDash val="solid"/>
              </a:ln>
            </c:spPr>
          </c:marker>
          <c:xVal>
            <c:numRef>
              <c:f>'5.2-5.4 Forhold; GSDF; forskel'!$AF$84:$AF$94</c:f>
              <c:numCache>
                <c:formatCode>0.00</c:formatCode>
                <c:ptCount val="11"/>
                <c:pt idx="0">
                  <c:v>#N/A</c:v>
                </c:pt>
                <c:pt idx="1">
                  <c:v>#N/A</c:v>
                </c:pt>
                <c:pt idx="2">
                  <c:v>#N/A</c:v>
                </c:pt>
                <c:pt idx="3">
                  <c:v>#N/A</c:v>
                </c:pt>
                <c:pt idx="4">
                  <c:v>#N/A</c:v>
                </c:pt>
                <c:pt idx="5">
                  <c:v>#N/A</c:v>
                </c:pt>
                <c:pt idx="6">
                  <c:v>#N/A</c:v>
                </c:pt>
                <c:pt idx="7">
                  <c:v>#N/A</c:v>
                </c:pt>
                <c:pt idx="8">
                  <c:v>#N/A</c:v>
                </c:pt>
                <c:pt idx="9">
                  <c:v>#N/A</c:v>
                </c:pt>
                <c:pt idx="10">
                  <c:v>#N/A</c:v>
                </c:pt>
              </c:numCache>
            </c:numRef>
          </c:xVal>
          <c:yVal>
            <c:numRef>
              <c:f>'5.2-5.4 Forhold; GSDF; forskel'!$AE$84:$AE$94</c:f>
              <c:numCache>
                <c:formatCode>0.00</c:formatCode>
                <c:ptCount val="11"/>
                <c:pt idx="0">
                  <c:v>#N/A</c:v>
                </c:pt>
                <c:pt idx="1">
                  <c:v>#N/A</c:v>
                </c:pt>
                <c:pt idx="2">
                  <c:v>#N/A</c:v>
                </c:pt>
                <c:pt idx="3">
                  <c:v>#N/A</c:v>
                </c:pt>
                <c:pt idx="4">
                  <c:v>#N/A</c:v>
                </c:pt>
                <c:pt idx="5">
                  <c:v>#N/A</c:v>
                </c:pt>
                <c:pt idx="6">
                  <c:v>#N/A</c:v>
                </c:pt>
                <c:pt idx="7">
                  <c:v>#N/A</c:v>
                </c:pt>
                <c:pt idx="8">
                  <c:v>#N/A</c:v>
                </c:pt>
                <c:pt idx="9">
                  <c:v>#N/A</c:v>
                </c:pt>
                <c:pt idx="10">
                  <c:v>#N/A</c:v>
                </c:pt>
              </c:numCache>
            </c:numRef>
          </c:yVal>
          <c:smooth val="1"/>
          <c:extLst>
            <c:ext xmlns:c16="http://schemas.microsoft.com/office/drawing/2014/chart" uri="{C3380CC4-5D6E-409C-BE32-E72D297353CC}">
              <c16:uniqueId val="{00000002-5629-48F7-BE50-66BB2FD1DB62}"/>
            </c:ext>
          </c:extLst>
        </c:ser>
        <c:dLbls>
          <c:showLegendKey val="0"/>
          <c:showVal val="0"/>
          <c:showCatName val="0"/>
          <c:showSerName val="0"/>
          <c:showPercent val="0"/>
          <c:showBubbleSize val="0"/>
        </c:dLbls>
        <c:axId val="152392448"/>
        <c:axId val="152394752"/>
      </c:scatterChart>
      <c:valAx>
        <c:axId val="152392448"/>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da-DK"/>
                  <a:t>JND-indeks</a:t>
                </a:r>
              </a:p>
            </c:rich>
          </c:tx>
          <c:layout>
            <c:manualLayout>
              <c:xMode val="edge"/>
              <c:yMode val="edge"/>
              <c:x val="0.40937499999999999"/>
              <c:y val="0.9023453904199474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a-DK"/>
          </a:p>
        </c:txPr>
        <c:crossAx val="152394752"/>
        <c:crossesAt val="1E-3"/>
        <c:crossBetween val="midCat"/>
      </c:valAx>
      <c:valAx>
        <c:axId val="152394752"/>
        <c:scaling>
          <c:logBase val="10"/>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da-DK"/>
                  <a:t>Luminans</a:t>
                </a:r>
                <a:r>
                  <a:rPr lang="da-DK" baseline="0"/>
                  <a:t> </a:t>
                </a:r>
                <a:r>
                  <a:rPr lang="da-DK"/>
                  <a:t> (cd/m²)</a:t>
                </a:r>
              </a:p>
            </c:rich>
          </c:tx>
          <c:layout>
            <c:manualLayout>
              <c:xMode val="edge"/>
              <c:yMode val="edge"/>
              <c:x val="4.8752667598793138E-5"/>
              <c:y val="0.4023441601049868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a-DK"/>
          </a:p>
        </c:txPr>
        <c:crossAx val="152392448"/>
        <c:crosses val="autoZero"/>
        <c:crossBetween val="midCat"/>
      </c:valAx>
      <c:spPr>
        <a:noFill/>
        <a:ln w="12700">
          <a:solidFill>
            <a:srgbClr val="808080"/>
          </a:solidFill>
          <a:prstDash val="solid"/>
        </a:ln>
      </c:spPr>
    </c:plotArea>
    <c:legend>
      <c:legendPos val="r"/>
      <c:layout>
        <c:manualLayout>
          <c:xMode val="edge"/>
          <c:yMode val="edge"/>
          <c:x val="0.57367561029792902"/>
          <c:y val="0.59816033634093613"/>
          <c:w val="0.360904730168917"/>
          <c:h val="0.19871837828782041"/>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da-DK"/>
        </a:p>
      </c:txPr>
    </c:legend>
    <c:plotVisOnly val="0"/>
    <c:dispBlanksAs val="gap"/>
    <c:showDLblsOverMax val="0"/>
  </c:chart>
  <c:spPr>
    <a:solidFill>
      <a:srgbClr val="FFFFFF"/>
    </a:solidFill>
    <a:ln w="3175">
      <a:solidFill>
        <a:srgbClr val="000000"/>
      </a:solidFill>
      <a:prstDash val="solid"/>
    </a:ln>
  </c:spPr>
  <c:txPr>
    <a:bodyPr/>
    <a:lstStyle/>
    <a:p>
      <a:pPr>
        <a:defRPr sz="575" b="0" i="0" u="none" strike="noStrike" baseline="0">
          <a:solidFill>
            <a:srgbClr val="000000"/>
          </a:solidFill>
          <a:latin typeface="Arial"/>
          <a:ea typeface="Arial"/>
          <a:cs typeface="Arial"/>
        </a:defRPr>
      </a:pPr>
      <a:endParaRPr lang="da-DK"/>
    </a:p>
  </c:txPr>
  <c:printSettings>
    <c:headerFooter alignWithMargins="0"/>
    <c:pageMargins b="1" l="0.75" r="0.75"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da-DK"/>
              <a:t>Kontrastrespons</a:t>
            </a:r>
          </a:p>
        </c:rich>
      </c:tx>
      <c:layout>
        <c:manualLayout>
          <c:xMode val="edge"/>
          <c:yMode val="edge"/>
          <c:x val="0.34492844916124615"/>
          <c:y val="3.90625E-2"/>
        </c:manualLayout>
      </c:layout>
      <c:overlay val="0"/>
      <c:spPr>
        <a:noFill/>
        <a:ln w="25400">
          <a:noFill/>
        </a:ln>
      </c:spPr>
    </c:title>
    <c:autoTitleDeleted val="0"/>
    <c:plotArea>
      <c:layout>
        <c:manualLayout>
          <c:layoutTarget val="inner"/>
          <c:xMode val="edge"/>
          <c:yMode val="edge"/>
          <c:x val="0.17381504210602602"/>
          <c:y val="0.15000068664865104"/>
          <c:w val="0.80135506425505498"/>
          <c:h val="0.67500308991892966"/>
        </c:manualLayout>
      </c:layout>
      <c:scatterChart>
        <c:scatterStyle val="smoothMarker"/>
        <c:varyColors val="0"/>
        <c:ser>
          <c:idx val="0"/>
          <c:order val="0"/>
          <c:tx>
            <c:v>DICOM 3.14</c:v>
          </c:tx>
          <c:spPr>
            <a:ln w="12700">
              <a:solidFill>
                <a:srgbClr val="000000"/>
              </a:solidFill>
              <a:prstDash val="solid"/>
            </a:ln>
          </c:spPr>
          <c:marker>
            <c:symbol val="none"/>
          </c:marker>
          <c:xVal>
            <c:numRef>
              <c:f>'5.2-5.4 Forhold; GSDF; forskel'!$Y$34:$Y$50</c:f>
              <c:numCache>
                <c:formatCode>0.00</c:formatCode>
                <c:ptCount val="17"/>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numCache>
            </c:numRef>
          </c:xVal>
          <c:yVal>
            <c:numRef>
              <c:f>'5.2-5.4 Forhold; GSDF; forskel'!$V$34:$V$50</c:f>
              <c:numCache>
                <c:formatCode>0.000</c:formatCode>
                <c:ptCount val="17"/>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numCache>
            </c:numRef>
          </c:yVal>
          <c:smooth val="1"/>
          <c:extLst>
            <c:ext xmlns:c16="http://schemas.microsoft.com/office/drawing/2014/chart" uri="{C3380CC4-5D6E-409C-BE32-E72D297353CC}">
              <c16:uniqueId val="{00000000-AF3F-42D6-82F6-60E244BEC522}"/>
            </c:ext>
          </c:extLst>
        </c:ser>
        <c:ser>
          <c:idx val="2"/>
          <c:order val="1"/>
          <c:tx>
            <c:strRef>
              <c:f>'5.2-5.4 Forhold; GSDF; forskel'!$W$32</c:f>
              <c:strCache>
                <c:ptCount val="1"/>
                <c:pt idx="0">
                  <c:v>+15%</c:v>
                </c:pt>
              </c:strCache>
            </c:strRef>
          </c:tx>
          <c:spPr>
            <a:ln w="12700">
              <a:solidFill>
                <a:srgbClr val="000000"/>
              </a:solidFill>
              <a:prstDash val="sysDash"/>
            </a:ln>
          </c:spPr>
          <c:marker>
            <c:symbol val="none"/>
          </c:marker>
          <c:xVal>
            <c:numRef>
              <c:f>'5.2-5.4 Forhold; GSDF; forskel'!$Y$34:$Y$50</c:f>
              <c:numCache>
                <c:formatCode>0.00</c:formatCode>
                <c:ptCount val="17"/>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numCache>
            </c:numRef>
          </c:xVal>
          <c:yVal>
            <c:numRef>
              <c:f>'5.2-5.4 Forhold; GSDF; forskel'!$W$34:$W$50</c:f>
              <c:numCache>
                <c:formatCode>0.000</c:formatCode>
                <c:ptCount val="17"/>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numCache>
            </c:numRef>
          </c:yVal>
          <c:smooth val="1"/>
          <c:extLst>
            <c:ext xmlns:c16="http://schemas.microsoft.com/office/drawing/2014/chart" uri="{C3380CC4-5D6E-409C-BE32-E72D297353CC}">
              <c16:uniqueId val="{00000001-AF3F-42D6-82F6-60E244BEC522}"/>
            </c:ext>
          </c:extLst>
        </c:ser>
        <c:ser>
          <c:idx val="3"/>
          <c:order val="2"/>
          <c:tx>
            <c:strRef>
              <c:f>'5.2-5.4 Forhold; GSDF; forskel'!$X$32</c:f>
              <c:strCache>
                <c:ptCount val="1"/>
                <c:pt idx="0">
                  <c:v>-15%</c:v>
                </c:pt>
              </c:strCache>
            </c:strRef>
          </c:tx>
          <c:spPr>
            <a:ln w="12700">
              <a:solidFill>
                <a:srgbClr val="000000"/>
              </a:solidFill>
              <a:prstDash val="sysDash"/>
            </a:ln>
          </c:spPr>
          <c:marker>
            <c:symbol val="none"/>
          </c:marker>
          <c:xVal>
            <c:numRef>
              <c:f>'5.2-5.4 Forhold; GSDF; forskel'!$Y$34:$Y$50</c:f>
              <c:numCache>
                <c:formatCode>0.00</c:formatCode>
                <c:ptCount val="17"/>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numCache>
            </c:numRef>
          </c:xVal>
          <c:yVal>
            <c:numRef>
              <c:f>'5.2-5.4 Forhold; GSDF; forskel'!$X$34:$X$50</c:f>
              <c:numCache>
                <c:formatCode>0.000</c:formatCode>
                <c:ptCount val="17"/>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numCache>
            </c:numRef>
          </c:yVal>
          <c:smooth val="1"/>
          <c:extLst>
            <c:ext xmlns:c16="http://schemas.microsoft.com/office/drawing/2014/chart" uri="{C3380CC4-5D6E-409C-BE32-E72D297353CC}">
              <c16:uniqueId val="{00000002-AF3F-42D6-82F6-60E244BEC522}"/>
            </c:ext>
          </c:extLst>
        </c:ser>
        <c:ser>
          <c:idx val="4"/>
          <c:order val="3"/>
          <c:tx>
            <c:strRef>
              <c:f>'5.2-5.4 Forhold; GSDF; forskel'!$A$24</c:f>
              <c:strCache>
                <c:ptCount val="1"/>
                <c:pt idx="0">
                  <c:v>Venstre Monitor</c:v>
                </c:pt>
              </c:strCache>
            </c:strRef>
          </c:tx>
          <c:spPr>
            <a:ln w="28575">
              <a:noFill/>
            </a:ln>
          </c:spPr>
          <c:marker>
            <c:symbol val="plus"/>
            <c:size val="5"/>
            <c:spPr>
              <a:noFill/>
              <a:ln>
                <a:solidFill>
                  <a:srgbClr val="000080"/>
                </a:solidFill>
                <a:prstDash val="solid"/>
              </a:ln>
            </c:spPr>
          </c:marker>
          <c:xVal>
            <c:numRef>
              <c:f>'5.2-5.4 Forhold; GSDF; forskel'!$H$37:$H$53</c:f>
              <c:numCache>
                <c:formatCode>0.00</c:formatCode>
                <c:ptCount val="17"/>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numCache>
            </c:numRef>
          </c:xVal>
          <c:yVal>
            <c:numRef>
              <c:f>'5.2-5.4 Forhold; GSDF; forskel'!$G$37:$G$53</c:f>
              <c:numCache>
                <c:formatCode>0.000</c:formatCode>
                <c:ptCount val="17"/>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numCache>
            </c:numRef>
          </c:yVal>
          <c:smooth val="1"/>
          <c:extLst>
            <c:ext xmlns:c16="http://schemas.microsoft.com/office/drawing/2014/chart" uri="{C3380CC4-5D6E-409C-BE32-E72D297353CC}">
              <c16:uniqueId val="{00000003-AF3F-42D6-82F6-60E244BEC522}"/>
            </c:ext>
          </c:extLst>
        </c:ser>
        <c:ser>
          <c:idx val="1"/>
          <c:order val="4"/>
          <c:tx>
            <c:strRef>
              <c:f>'5.2-5.4 Forhold; GSDF; forskel'!#REF!</c:f>
              <c:strCache>
                <c:ptCount val="1"/>
                <c:pt idx="0">
                  <c:v>#REF!</c:v>
                </c:pt>
              </c:strCache>
            </c:strRef>
          </c:tx>
          <c:spPr>
            <a:ln w="28575">
              <a:noFill/>
            </a:ln>
          </c:spPr>
          <c:marker>
            <c:symbol val="circle"/>
            <c:size val="5"/>
            <c:spPr>
              <a:noFill/>
              <a:ln>
                <a:solidFill>
                  <a:srgbClr val="FF00FF"/>
                </a:solidFill>
                <a:prstDash val="solid"/>
              </a:ln>
            </c:spPr>
          </c:marker>
          <c:xVal>
            <c:numRef>
              <c:f>'5.2-5.4 Forhold; GSDF; forskel'!$H$90:$H$106</c:f>
              <c:numCache>
                <c:formatCode>0.00</c:formatCode>
                <c:ptCount val="17"/>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numCache>
            </c:numRef>
          </c:xVal>
          <c:yVal>
            <c:numRef>
              <c:f>'5.2-5.4 Forhold; GSDF; forskel'!$G$90:$G$106</c:f>
              <c:numCache>
                <c:formatCode>0.000</c:formatCode>
                <c:ptCount val="17"/>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numCache>
            </c:numRef>
          </c:yVal>
          <c:smooth val="1"/>
          <c:extLst>
            <c:ext xmlns:c16="http://schemas.microsoft.com/office/drawing/2014/chart" uri="{C3380CC4-5D6E-409C-BE32-E72D297353CC}">
              <c16:uniqueId val="{00000004-AF3F-42D6-82F6-60E244BEC522}"/>
            </c:ext>
          </c:extLst>
        </c:ser>
        <c:dLbls>
          <c:showLegendKey val="0"/>
          <c:showVal val="0"/>
          <c:showCatName val="0"/>
          <c:showSerName val="0"/>
          <c:showPercent val="0"/>
          <c:showBubbleSize val="0"/>
        </c:dLbls>
        <c:axId val="158558464"/>
        <c:axId val="158569216"/>
      </c:scatterChart>
      <c:valAx>
        <c:axId val="158558464"/>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da-DK"/>
                  <a:t>JND-indeks</a:t>
                </a:r>
              </a:p>
            </c:rich>
          </c:tx>
          <c:layout>
            <c:manualLayout>
              <c:xMode val="edge"/>
              <c:yMode val="edge"/>
              <c:x val="0.44637802883335237"/>
              <c:y val="0.9023453904199474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a-DK"/>
          </a:p>
        </c:txPr>
        <c:crossAx val="158569216"/>
        <c:crosses val="autoZero"/>
        <c:crossBetween val="midCat"/>
      </c:valAx>
      <c:valAx>
        <c:axId val="158569216"/>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da-DK"/>
                  <a:t>dL/L for JND</a:t>
                </a:r>
              </a:p>
            </c:rich>
          </c:tx>
          <c:layout>
            <c:manualLayout>
              <c:xMode val="edge"/>
              <c:yMode val="edge"/>
              <c:x val="3.2061878269730956E-3"/>
              <c:y val="0.34765707020997372"/>
            </c:manualLayout>
          </c:layout>
          <c:overlay val="0"/>
          <c:spPr>
            <a:noFill/>
            <a:ln w="25400">
              <a:noFill/>
            </a:ln>
          </c:spPr>
        </c:title>
        <c:numFmt formatCode="0.0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a-DK"/>
          </a:p>
        </c:txPr>
        <c:crossAx val="158558464"/>
        <c:crosses val="autoZero"/>
        <c:crossBetween val="midCat"/>
      </c:valAx>
      <c:spPr>
        <a:noFill/>
        <a:ln w="12700">
          <a:solidFill>
            <a:srgbClr val="808080"/>
          </a:solidFill>
          <a:prstDash val="solid"/>
        </a:ln>
      </c:spPr>
    </c:plotArea>
    <c:legend>
      <c:legendPos val="r"/>
      <c:layout>
        <c:manualLayout>
          <c:xMode val="edge"/>
          <c:yMode val="edge"/>
          <c:x val="0.59593728722066053"/>
          <c:y val="0.16875077247973241"/>
          <c:w val="0.34988742242122123"/>
          <c:h val="0.26250120163513929"/>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da-DK"/>
        </a:p>
      </c:txPr>
    </c:legend>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da-DK"/>
    </a:p>
  </c:txPr>
  <c:printSettings>
    <c:headerFooter alignWithMargins="0"/>
    <c:pageMargins b="1" l="0.75" r="0.75" t="1" header="0.5" footer="0.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da-DK"/>
              <a:t>Kontrastrespons</a:t>
            </a:r>
          </a:p>
        </c:rich>
      </c:tx>
      <c:layout>
        <c:manualLayout>
          <c:xMode val="edge"/>
          <c:yMode val="edge"/>
          <c:x val="0.34492844916124615"/>
          <c:y val="3.90625E-2"/>
        </c:manualLayout>
      </c:layout>
      <c:overlay val="0"/>
      <c:spPr>
        <a:noFill/>
        <a:ln w="25400">
          <a:noFill/>
        </a:ln>
      </c:spPr>
    </c:title>
    <c:autoTitleDeleted val="0"/>
    <c:plotArea>
      <c:layout>
        <c:manualLayout>
          <c:layoutTarget val="inner"/>
          <c:xMode val="edge"/>
          <c:yMode val="edge"/>
          <c:x val="0.17381504210602602"/>
          <c:y val="0.15000068664865104"/>
          <c:w val="0.80135506425505498"/>
          <c:h val="0.67500308991892966"/>
        </c:manualLayout>
      </c:layout>
      <c:scatterChart>
        <c:scatterStyle val="smoothMarker"/>
        <c:varyColors val="0"/>
        <c:ser>
          <c:idx val="0"/>
          <c:order val="0"/>
          <c:tx>
            <c:v>DICOM 3.14</c:v>
          </c:tx>
          <c:spPr>
            <a:ln w="12700">
              <a:solidFill>
                <a:srgbClr val="000000"/>
              </a:solidFill>
              <a:prstDash val="solid"/>
            </a:ln>
          </c:spPr>
          <c:marker>
            <c:symbol val="none"/>
          </c:marker>
          <c:xVal>
            <c:numRef>
              <c:f>'5.2-5.4 Forhold; GSDF; forskel'!$AZ$34:$AZ$43</c:f>
              <c:numCache>
                <c:formatCode>0.00</c:formatCode>
                <c:ptCount val="10"/>
                <c:pt idx="0">
                  <c:v>#N/A</c:v>
                </c:pt>
                <c:pt idx="1">
                  <c:v>#N/A</c:v>
                </c:pt>
                <c:pt idx="2">
                  <c:v>#N/A</c:v>
                </c:pt>
                <c:pt idx="3">
                  <c:v>#N/A</c:v>
                </c:pt>
                <c:pt idx="4">
                  <c:v>#N/A</c:v>
                </c:pt>
                <c:pt idx="5">
                  <c:v>#N/A</c:v>
                </c:pt>
                <c:pt idx="6">
                  <c:v>#N/A</c:v>
                </c:pt>
                <c:pt idx="7">
                  <c:v>#N/A</c:v>
                </c:pt>
                <c:pt idx="8">
                  <c:v>#N/A</c:v>
                </c:pt>
                <c:pt idx="9">
                  <c:v>#N/A</c:v>
                </c:pt>
              </c:numCache>
            </c:numRef>
          </c:xVal>
          <c:yVal>
            <c:numRef>
              <c:f>'5.2-5.4 Forhold; GSDF; forskel'!$AW$34:$AW$43</c:f>
              <c:numCache>
                <c:formatCode>0.000</c:formatCode>
                <c:ptCount val="10"/>
                <c:pt idx="0">
                  <c:v>#N/A</c:v>
                </c:pt>
                <c:pt idx="1">
                  <c:v>#N/A</c:v>
                </c:pt>
                <c:pt idx="2">
                  <c:v>#N/A</c:v>
                </c:pt>
                <c:pt idx="3">
                  <c:v>#N/A</c:v>
                </c:pt>
                <c:pt idx="4">
                  <c:v>#N/A</c:v>
                </c:pt>
                <c:pt idx="5">
                  <c:v>#N/A</c:v>
                </c:pt>
                <c:pt idx="6">
                  <c:v>#N/A</c:v>
                </c:pt>
                <c:pt idx="7">
                  <c:v>#N/A</c:v>
                </c:pt>
                <c:pt idx="8">
                  <c:v>#N/A</c:v>
                </c:pt>
                <c:pt idx="9">
                  <c:v>#N/A</c:v>
                </c:pt>
              </c:numCache>
            </c:numRef>
          </c:yVal>
          <c:smooth val="1"/>
          <c:extLst>
            <c:ext xmlns:c16="http://schemas.microsoft.com/office/drawing/2014/chart" uri="{C3380CC4-5D6E-409C-BE32-E72D297353CC}">
              <c16:uniqueId val="{00000000-E915-45AA-9948-1ACD59BC4E24}"/>
            </c:ext>
          </c:extLst>
        </c:ser>
        <c:ser>
          <c:idx val="2"/>
          <c:order val="1"/>
          <c:tx>
            <c:strRef>
              <c:f>'5.2-5.4 Forhold; GSDF; forskel'!$AX$32</c:f>
              <c:strCache>
                <c:ptCount val="1"/>
                <c:pt idx="0">
                  <c:v>+15%</c:v>
                </c:pt>
              </c:strCache>
            </c:strRef>
          </c:tx>
          <c:spPr>
            <a:ln w="12700">
              <a:solidFill>
                <a:srgbClr val="000000"/>
              </a:solidFill>
              <a:prstDash val="sysDash"/>
            </a:ln>
          </c:spPr>
          <c:marker>
            <c:symbol val="none"/>
          </c:marker>
          <c:xVal>
            <c:numRef>
              <c:f>'5.2-5.4 Forhold; GSDF; forskel'!$AZ$34:$AZ$43</c:f>
              <c:numCache>
                <c:formatCode>0.00</c:formatCode>
                <c:ptCount val="10"/>
                <c:pt idx="0">
                  <c:v>#N/A</c:v>
                </c:pt>
                <c:pt idx="1">
                  <c:v>#N/A</c:v>
                </c:pt>
                <c:pt idx="2">
                  <c:v>#N/A</c:v>
                </c:pt>
                <c:pt idx="3">
                  <c:v>#N/A</c:v>
                </c:pt>
                <c:pt idx="4">
                  <c:v>#N/A</c:v>
                </c:pt>
                <c:pt idx="5">
                  <c:v>#N/A</c:v>
                </c:pt>
                <c:pt idx="6">
                  <c:v>#N/A</c:v>
                </c:pt>
                <c:pt idx="7">
                  <c:v>#N/A</c:v>
                </c:pt>
                <c:pt idx="8">
                  <c:v>#N/A</c:v>
                </c:pt>
                <c:pt idx="9">
                  <c:v>#N/A</c:v>
                </c:pt>
              </c:numCache>
            </c:numRef>
          </c:xVal>
          <c:yVal>
            <c:numRef>
              <c:f>'5.2-5.4 Forhold; GSDF; forskel'!$AX$34:$AX$43</c:f>
              <c:numCache>
                <c:formatCode>0.000</c:formatCode>
                <c:ptCount val="10"/>
                <c:pt idx="0">
                  <c:v>#N/A</c:v>
                </c:pt>
                <c:pt idx="1">
                  <c:v>#N/A</c:v>
                </c:pt>
                <c:pt idx="2">
                  <c:v>#N/A</c:v>
                </c:pt>
                <c:pt idx="3">
                  <c:v>#N/A</c:v>
                </c:pt>
                <c:pt idx="4">
                  <c:v>#N/A</c:v>
                </c:pt>
                <c:pt idx="5">
                  <c:v>#N/A</c:v>
                </c:pt>
                <c:pt idx="6">
                  <c:v>#N/A</c:v>
                </c:pt>
                <c:pt idx="7">
                  <c:v>#N/A</c:v>
                </c:pt>
                <c:pt idx="8">
                  <c:v>#N/A</c:v>
                </c:pt>
                <c:pt idx="9">
                  <c:v>#N/A</c:v>
                </c:pt>
              </c:numCache>
            </c:numRef>
          </c:yVal>
          <c:smooth val="1"/>
          <c:extLst>
            <c:ext xmlns:c16="http://schemas.microsoft.com/office/drawing/2014/chart" uri="{C3380CC4-5D6E-409C-BE32-E72D297353CC}">
              <c16:uniqueId val="{00000001-E915-45AA-9948-1ACD59BC4E24}"/>
            </c:ext>
          </c:extLst>
        </c:ser>
        <c:ser>
          <c:idx val="3"/>
          <c:order val="2"/>
          <c:tx>
            <c:strRef>
              <c:f>'5.2-5.4 Forhold; GSDF; forskel'!$AY$32</c:f>
              <c:strCache>
                <c:ptCount val="1"/>
                <c:pt idx="0">
                  <c:v>-15%</c:v>
                </c:pt>
              </c:strCache>
            </c:strRef>
          </c:tx>
          <c:spPr>
            <a:ln w="12700">
              <a:solidFill>
                <a:srgbClr val="000000"/>
              </a:solidFill>
              <a:prstDash val="sysDash"/>
            </a:ln>
          </c:spPr>
          <c:marker>
            <c:symbol val="none"/>
          </c:marker>
          <c:xVal>
            <c:numRef>
              <c:f>'5.2-5.4 Forhold; GSDF; forskel'!$AZ$34:$AZ$43</c:f>
              <c:numCache>
                <c:formatCode>0.00</c:formatCode>
                <c:ptCount val="10"/>
                <c:pt idx="0">
                  <c:v>#N/A</c:v>
                </c:pt>
                <c:pt idx="1">
                  <c:v>#N/A</c:v>
                </c:pt>
                <c:pt idx="2">
                  <c:v>#N/A</c:v>
                </c:pt>
                <c:pt idx="3">
                  <c:v>#N/A</c:v>
                </c:pt>
                <c:pt idx="4">
                  <c:v>#N/A</c:v>
                </c:pt>
                <c:pt idx="5">
                  <c:v>#N/A</c:v>
                </c:pt>
                <c:pt idx="6">
                  <c:v>#N/A</c:v>
                </c:pt>
                <c:pt idx="7">
                  <c:v>#N/A</c:v>
                </c:pt>
                <c:pt idx="8">
                  <c:v>#N/A</c:v>
                </c:pt>
                <c:pt idx="9">
                  <c:v>#N/A</c:v>
                </c:pt>
              </c:numCache>
            </c:numRef>
          </c:xVal>
          <c:yVal>
            <c:numRef>
              <c:f>'5.2-5.4 Forhold; GSDF; forskel'!$AY$34:$AY$43</c:f>
              <c:numCache>
                <c:formatCode>0.000</c:formatCode>
                <c:ptCount val="10"/>
                <c:pt idx="0">
                  <c:v>#N/A</c:v>
                </c:pt>
                <c:pt idx="1">
                  <c:v>#N/A</c:v>
                </c:pt>
                <c:pt idx="2">
                  <c:v>#N/A</c:v>
                </c:pt>
                <c:pt idx="3">
                  <c:v>#N/A</c:v>
                </c:pt>
                <c:pt idx="4">
                  <c:v>#N/A</c:v>
                </c:pt>
                <c:pt idx="5">
                  <c:v>#N/A</c:v>
                </c:pt>
                <c:pt idx="6">
                  <c:v>#N/A</c:v>
                </c:pt>
                <c:pt idx="7">
                  <c:v>#N/A</c:v>
                </c:pt>
                <c:pt idx="8">
                  <c:v>#N/A</c:v>
                </c:pt>
                <c:pt idx="9">
                  <c:v>#N/A</c:v>
                </c:pt>
              </c:numCache>
            </c:numRef>
          </c:yVal>
          <c:smooth val="1"/>
          <c:extLst>
            <c:ext xmlns:c16="http://schemas.microsoft.com/office/drawing/2014/chart" uri="{C3380CC4-5D6E-409C-BE32-E72D297353CC}">
              <c16:uniqueId val="{00000002-E915-45AA-9948-1ACD59BC4E24}"/>
            </c:ext>
          </c:extLst>
        </c:ser>
        <c:ser>
          <c:idx val="4"/>
          <c:order val="3"/>
          <c:tx>
            <c:strRef>
              <c:f>'5.2-5.4 Forhold; GSDF; forskel'!$AB$24</c:f>
              <c:strCache>
                <c:ptCount val="1"/>
                <c:pt idx="0">
                  <c:v>Venstre Monitor</c:v>
                </c:pt>
              </c:strCache>
            </c:strRef>
          </c:tx>
          <c:spPr>
            <a:ln w="28575">
              <a:noFill/>
            </a:ln>
          </c:spPr>
          <c:marker>
            <c:symbol val="plus"/>
            <c:size val="5"/>
            <c:spPr>
              <a:noFill/>
              <a:ln>
                <a:solidFill>
                  <a:srgbClr val="000080"/>
                </a:solidFill>
                <a:prstDash val="solid"/>
              </a:ln>
            </c:spPr>
          </c:marker>
          <c:xVal>
            <c:numRef>
              <c:f>'5.2-5.4 Forhold; GSDF; forskel'!$AI$37:$AI$46</c:f>
              <c:numCache>
                <c:formatCode>0.00</c:formatCode>
                <c:ptCount val="10"/>
                <c:pt idx="0">
                  <c:v>#N/A</c:v>
                </c:pt>
                <c:pt idx="1">
                  <c:v>#N/A</c:v>
                </c:pt>
                <c:pt idx="2">
                  <c:v>#N/A</c:v>
                </c:pt>
                <c:pt idx="3">
                  <c:v>#N/A</c:v>
                </c:pt>
                <c:pt idx="4">
                  <c:v>#N/A</c:v>
                </c:pt>
                <c:pt idx="5">
                  <c:v>#N/A</c:v>
                </c:pt>
                <c:pt idx="6">
                  <c:v>#N/A</c:v>
                </c:pt>
                <c:pt idx="7">
                  <c:v>#N/A</c:v>
                </c:pt>
                <c:pt idx="8">
                  <c:v>#N/A</c:v>
                </c:pt>
                <c:pt idx="9">
                  <c:v>#N/A</c:v>
                </c:pt>
              </c:numCache>
            </c:numRef>
          </c:xVal>
          <c:yVal>
            <c:numRef>
              <c:f>'5.2-5.4 Forhold; GSDF; forskel'!$AH$37:$AH$46</c:f>
              <c:numCache>
                <c:formatCode>0.000</c:formatCode>
                <c:ptCount val="10"/>
                <c:pt idx="0">
                  <c:v>#N/A</c:v>
                </c:pt>
                <c:pt idx="1">
                  <c:v>#N/A</c:v>
                </c:pt>
                <c:pt idx="2">
                  <c:v>#N/A</c:v>
                </c:pt>
                <c:pt idx="3">
                  <c:v>#N/A</c:v>
                </c:pt>
                <c:pt idx="4">
                  <c:v>#N/A</c:v>
                </c:pt>
                <c:pt idx="5">
                  <c:v>#N/A</c:v>
                </c:pt>
                <c:pt idx="6">
                  <c:v>#N/A</c:v>
                </c:pt>
                <c:pt idx="7">
                  <c:v>#N/A</c:v>
                </c:pt>
                <c:pt idx="8">
                  <c:v>#N/A</c:v>
                </c:pt>
                <c:pt idx="9">
                  <c:v>#N/A</c:v>
                </c:pt>
              </c:numCache>
            </c:numRef>
          </c:yVal>
          <c:smooth val="1"/>
          <c:extLst>
            <c:ext xmlns:c16="http://schemas.microsoft.com/office/drawing/2014/chart" uri="{C3380CC4-5D6E-409C-BE32-E72D297353CC}">
              <c16:uniqueId val="{00000003-E915-45AA-9948-1ACD59BC4E24}"/>
            </c:ext>
          </c:extLst>
        </c:ser>
        <c:ser>
          <c:idx val="1"/>
          <c:order val="4"/>
          <c:tx>
            <c:strRef>
              <c:f>'5.2-5.4 Forhold; GSDF; forskel'!$AB$81</c:f>
              <c:strCache>
                <c:ptCount val="1"/>
              </c:strCache>
            </c:strRef>
          </c:tx>
          <c:spPr>
            <a:ln w="28575">
              <a:noFill/>
            </a:ln>
          </c:spPr>
          <c:marker>
            <c:symbol val="circle"/>
            <c:size val="5"/>
            <c:spPr>
              <a:noFill/>
              <a:ln>
                <a:solidFill>
                  <a:srgbClr val="FF00FF"/>
                </a:solidFill>
                <a:prstDash val="solid"/>
              </a:ln>
            </c:spPr>
          </c:marker>
          <c:xVal>
            <c:numRef>
              <c:f>'5.2-5.4 Forhold; GSDF; forskel'!$AI$85:$AI$94</c:f>
              <c:numCache>
                <c:formatCode>0.00</c:formatCode>
                <c:ptCount val="10"/>
                <c:pt idx="0">
                  <c:v>#N/A</c:v>
                </c:pt>
                <c:pt idx="1">
                  <c:v>#N/A</c:v>
                </c:pt>
                <c:pt idx="2">
                  <c:v>#N/A</c:v>
                </c:pt>
                <c:pt idx="3">
                  <c:v>#N/A</c:v>
                </c:pt>
                <c:pt idx="4">
                  <c:v>#N/A</c:v>
                </c:pt>
                <c:pt idx="5">
                  <c:v>#N/A</c:v>
                </c:pt>
                <c:pt idx="6">
                  <c:v>#N/A</c:v>
                </c:pt>
                <c:pt idx="7">
                  <c:v>#N/A</c:v>
                </c:pt>
                <c:pt idx="8">
                  <c:v>#N/A</c:v>
                </c:pt>
                <c:pt idx="9">
                  <c:v>#N/A</c:v>
                </c:pt>
              </c:numCache>
            </c:numRef>
          </c:xVal>
          <c:yVal>
            <c:numRef>
              <c:f>'5.2-5.4 Forhold; GSDF; forskel'!$AH$85:$AH$94</c:f>
              <c:numCache>
                <c:formatCode>0.000</c:formatCode>
                <c:ptCount val="10"/>
                <c:pt idx="0">
                  <c:v>#N/A</c:v>
                </c:pt>
                <c:pt idx="1">
                  <c:v>#N/A</c:v>
                </c:pt>
                <c:pt idx="2">
                  <c:v>#N/A</c:v>
                </c:pt>
                <c:pt idx="3">
                  <c:v>#N/A</c:v>
                </c:pt>
                <c:pt idx="4">
                  <c:v>#N/A</c:v>
                </c:pt>
                <c:pt idx="5">
                  <c:v>#N/A</c:v>
                </c:pt>
                <c:pt idx="6">
                  <c:v>#N/A</c:v>
                </c:pt>
                <c:pt idx="7">
                  <c:v>#N/A</c:v>
                </c:pt>
                <c:pt idx="8">
                  <c:v>#N/A</c:v>
                </c:pt>
                <c:pt idx="9">
                  <c:v>#N/A</c:v>
                </c:pt>
              </c:numCache>
            </c:numRef>
          </c:yVal>
          <c:smooth val="1"/>
          <c:extLst>
            <c:ext xmlns:c16="http://schemas.microsoft.com/office/drawing/2014/chart" uri="{C3380CC4-5D6E-409C-BE32-E72D297353CC}">
              <c16:uniqueId val="{00000004-E915-45AA-9948-1ACD59BC4E24}"/>
            </c:ext>
          </c:extLst>
        </c:ser>
        <c:dLbls>
          <c:showLegendKey val="0"/>
          <c:showVal val="0"/>
          <c:showCatName val="0"/>
          <c:showSerName val="0"/>
          <c:showPercent val="0"/>
          <c:showBubbleSize val="0"/>
        </c:dLbls>
        <c:axId val="158471296"/>
        <c:axId val="158473600"/>
      </c:scatterChart>
      <c:valAx>
        <c:axId val="158471296"/>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da-DK"/>
                  <a:t>JND-indeks</a:t>
                </a:r>
              </a:p>
            </c:rich>
          </c:tx>
          <c:layout>
            <c:manualLayout>
              <c:xMode val="edge"/>
              <c:yMode val="edge"/>
              <c:x val="0.44637802883335237"/>
              <c:y val="0.9023453904199474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a-DK"/>
          </a:p>
        </c:txPr>
        <c:crossAx val="158473600"/>
        <c:crosses val="autoZero"/>
        <c:crossBetween val="midCat"/>
      </c:valAx>
      <c:valAx>
        <c:axId val="158473600"/>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da-DK"/>
                  <a:t>dL/L for JND</a:t>
                </a:r>
              </a:p>
            </c:rich>
          </c:tx>
          <c:layout>
            <c:manualLayout>
              <c:xMode val="edge"/>
              <c:yMode val="edge"/>
              <c:x val="3.2061878269730956E-3"/>
              <c:y val="0.35286540354330703"/>
            </c:manualLayout>
          </c:layout>
          <c:overlay val="0"/>
          <c:spPr>
            <a:noFill/>
            <a:ln w="25400">
              <a:noFill/>
            </a:ln>
          </c:spPr>
        </c:title>
        <c:numFmt formatCode="0.0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a-DK"/>
          </a:p>
        </c:txPr>
        <c:crossAx val="158471296"/>
        <c:crosses val="autoZero"/>
        <c:crossBetween val="midCat"/>
      </c:valAx>
      <c:spPr>
        <a:noFill/>
        <a:ln w="12700">
          <a:solidFill>
            <a:srgbClr val="808080"/>
          </a:solidFill>
          <a:prstDash val="solid"/>
        </a:ln>
      </c:spPr>
    </c:plotArea>
    <c:legend>
      <c:legendPos val="r"/>
      <c:layout>
        <c:manualLayout>
          <c:xMode val="edge"/>
          <c:yMode val="edge"/>
          <c:x val="0.59593728722066053"/>
          <c:y val="0.16875077247973241"/>
          <c:w val="0.34988742242122123"/>
          <c:h val="0.26250120163513929"/>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da-DK"/>
        </a:p>
      </c:txPr>
    </c:legend>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da-DK"/>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51435</xdr:colOff>
      <xdr:row>58</xdr:row>
      <xdr:rowOff>118110</xdr:rowOff>
    </xdr:from>
    <xdr:to>
      <xdr:col>11</xdr:col>
      <xdr:colOff>51435</xdr:colOff>
      <xdr:row>74</xdr:row>
      <xdr:rowOff>118110</xdr:rowOff>
    </xdr:to>
    <xdr:graphicFrame macro="">
      <xdr:nvGraphicFramePr>
        <xdr:cNvPr id="105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22860</xdr:colOff>
      <xdr:row>58</xdr:row>
      <xdr:rowOff>99060</xdr:rowOff>
    </xdr:from>
    <xdr:to>
      <xdr:col>5</xdr:col>
      <xdr:colOff>22860</xdr:colOff>
      <xdr:row>74</xdr:row>
      <xdr:rowOff>99060</xdr:rowOff>
    </xdr:to>
    <xdr:graphicFrame macro="">
      <xdr:nvGraphicFramePr>
        <xdr:cNvPr id="105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0</xdr:col>
          <xdr:colOff>57150</xdr:colOff>
          <xdr:row>117</xdr:row>
          <xdr:rowOff>19050</xdr:rowOff>
        </xdr:from>
        <xdr:to>
          <xdr:col>5</xdr:col>
          <xdr:colOff>485775</xdr:colOff>
          <xdr:row>123</xdr:row>
          <xdr:rowOff>76200</xdr:rowOff>
        </xdr:to>
        <xdr:sp macro="" textlink="">
          <xdr:nvSpPr>
            <xdr:cNvPr id="1057" name="Object 33" hidden="1">
              <a:extLst>
                <a:ext uri="{63B3BB69-23CF-44E3-9099-C40C66FF867C}">
                  <a14:compatExt spid="_x0000_s105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104</xdr:row>
          <xdr:rowOff>85725</xdr:rowOff>
        </xdr:from>
        <xdr:to>
          <xdr:col>32</xdr:col>
          <xdr:colOff>590550</xdr:colOff>
          <xdr:row>110</xdr:row>
          <xdr:rowOff>95250</xdr:rowOff>
        </xdr:to>
        <xdr:sp macro="" textlink="">
          <xdr:nvSpPr>
            <xdr:cNvPr id="1073" name="Object 49" hidden="1">
              <a:extLst>
                <a:ext uri="{63B3BB69-23CF-44E3-9099-C40C66FF867C}">
                  <a14:compatExt spid="_x0000_s107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32</xdr:col>
      <xdr:colOff>38100</xdr:colOff>
      <xdr:row>51</xdr:row>
      <xdr:rowOff>36195</xdr:rowOff>
    </xdr:from>
    <xdr:to>
      <xdr:col>38</xdr:col>
      <xdr:colOff>66675</xdr:colOff>
      <xdr:row>67</xdr:row>
      <xdr:rowOff>114300</xdr:rowOff>
    </xdr:to>
    <xdr:graphicFrame macro="">
      <xdr:nvGraphicFramePr>
        <xdr:cNvPr id="1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26</xdr:col>
      <xdr:colOff>828674</xdr:colOff>
      <xdr:row>51</xdr:row>
      <xdr:rowOff>26670</xdr:rowOff>
    </xdr:from>
    <xdr:to>
      <xdr:col>31</xdr:col>
      <xdr:colOff>590549</xdr:colOff>
      <xdr:row>67</xdr:row>
      <xdr:rowOff>95250</xdr:rowOff>
    </xdr:to>
    <xdr:graphicFrame macro="">
      <xdr:nvGraphicFramePr>
        <xdr:cNvPr id="1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3</xdr:col>
      <xdr:colOff>19050</xdr:colOff>
      <xdr:row>6</xdr:row>
      <xdr:rowOff>139065</xdr:rowOff>
    </xdr:from>
    <xdr:ext cx="2080260" cy="834390"/>
    <mc:AlternateContent xmlns:mc="http://schemas.openxmlformats.org/markup-compatibility/2006" xmlns:a14="http://schemas.microsoft.com/office/drawing/2010/main">
      <mc:Choice Requires="a14">
        <xdr:sp macro="" textlink="">
          <xdr:nvSpPr>
            <xdr:cNvPr id="2" name="Tekstboks 1"/>
            <xdr:cNvSpPr txBox="1"/>
          </xdr:nvSpPr>
          <xdr:spPr>
            <a:xfrm>
              <a:off x="2381250" y="1224915"/>
              <a:ext cx="2080260" cy="834390"/>
            </a:xfrm>
            <a:prstGeom prst="rect">
              <a:avLst/>
            </a:prstGeom>
            <a:solidFill>
              <a:schemeClr val="bg1"/>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a-DK" sz="1400" b="0" i="1">
                  <a:latin typeface="Cambria Math"/>
                </a:rPr>
                <a:t>Evaluering:</a:t>
              </a:r>
            </a:p>
            <a:p>
              <a:r>
                <a:rPr lang="da-DK" sz="1400" b="0" i="1">
                  <a:latin typeface="Cambria Math"/>
                </a:rPr>
                <a:t/>
              </a:r>
              <a:br>
                <a:rPr lang="da-DK" sz="1400" b="0" i="1">
                  <a:latin typeface="Cambria Math"/>
                </a:rPr>
              </a:br>
              <a14:m>
                <m:oMath xmlns:m="http://schemas.openxmlformats.org/officeDocument/2006/math">
                  <m:f>
                    <m:fPr>
                      <m:ctrlPr>
                        <a:rPr lang="da-DK" sz="1400" b="0" i="1">
                          <a:latin typeface="Cambria Math" panose="02040503050406030204" pitchFamily="18" charset="0"/>
                          <a:ea typeface="Cambria Math"/>
                        </a:rPr>
                      </m:ctrlPr>
                    </m:fPr>
                    <m:num>
                      <m:r>
                        <a:rPr lang="da-DK" sz="1400" b="0" i="1">
                          <a:latin typeface="Cambria Math"/>
                          <a:ea typeface="Cambria Math"/>
                        </a:rPr>
                        <m:t>𝐿</m:t>
                      </m:r>
                      <m:r>
                        <a:rPr lang="da-DK" sz="1400" b="0" i="1" baseline="-25000">
                          <a:latin typeface="Cambria Math"/>
                          <a:ea typeface="Cambria Math"/>
                        </a:rPr>
                        <m:t>𝑚𝑎𝑘𝑠</m:t>
                      </m:r>
                      <m:r>
                        <a:rPr lang="da-DK" sz="1400" b="0" i="1">
                          <a:latin typeface="Cambria Math"/>
                          <a:ea typeface="Cambria Math"/>
                        </a:rPr>
                        <m:t> −</m:t>
                      </m:r>
                      <m:r>
                        <a:rPr lang="da-DK" sz="1400" b="0" i="1">
                          <a:latin typeface="Cambria Math"/>
                          <a:ea typeface="Cambria Math"/>
                        </a:rPr>
                        <m:t>𝐿</m:t>
                      </m:r>
                      <m:r>
                        <m:rPr>
                          <m:sty m:val="p"/>
                        </m:rPr>
                        <a:rPr lang="da-DK" sz="1400" b="0" i="0" baseline="-25000">
                          <a:latin typeface="Cambria Math"/>
                          <a:ea typeface="Cambria Math"/>
                        </a:rPr>
                        <m:t>min</m:t>
                      </m:r>
                    </m:num>
                    <m:den>
                      <m:r>
                        <a:rPr lang="da-DK" sz="1400" b="0" i="1">
                          <a:latin typeface="Cambria Math"/>
                          <a:ea typeface="Cambria Math"/>
                        </a:rPr>
                        <m:t>𝐿</m:t>
                      </m:r>
                      <m:r>
                        <a:rPr lang="da-DK" sz="1400" b="0" i="1" baseline="-25000">
                          <a:latin typeface="Cambria Math"/>
                          <a:ea typeface="Cambria Math"/>
                        </a:rPr>
                        <m:t>𝑚𝑖𝑛</m:t>
                      </m:r>
                    </m:den>
                  </m:f>
                </m:oMath>
              </a14:m>
              <a:r>
                <a:rPr lang="da-DK" sz="1400"/>
                <a:t> </a:t>
              </a:r>
              <a:r>
                <a:rPr lang="da-DK" sz="1400">
                  <a:sym typeface="Symbol" panose="05050102010706020507" pitchFamily="18" charset="2"/>
                </a:rPr>
                <a:t></a:t>
              </a:r>
              <a14:m>
                <m:oMath xmlns:m="http://schemas.openxmlformats.org/officeDocument/2006/math">
                  <m:r>
                    <a:rPr lang="da-DK" sz="1100" b="0" i="1">
                      <a:solidFill>
                        <a:schemeClr val="tx1"/>
                      </a:solidFill>
                      <a:effectLst/>
                      <a:latin typeface="Cambria Math" panose="02040503050406030204" pitchFamily="18" charset="0"/>
                      <a:ea typeface="+mn-ea"/>
                      <a:cs typeface="+mn-cs"/>
                    </a:rPr>
                    <m:t>100% </m:t>
                  </m:r>
                </m:oMath>
              </a14:m>
              <a:endParaRPr lang="da-DK" sz="1400"/>
            </a:p>
          </xdr:txBody>
        </xdr:sp>
      </mc:Choice>
      <mc:Fallback xmlns="">
        <xdr:sp macro="" textlink="">
          <xdr:nvSpPr>
            <xdr:cNvPr id="2" name="Tekstboks 1"/>
            <xdr:cNvSpPr txBox="1"/>
          </xdr:nvSpPr>
          <xdr:spPr>
            <a:xfrm>
              <a:off x="2381250" y="1224915"/>
              <a:ext cx="2080260" cy="834390"/>
            </a:xfrm>
            <a:prstGeom prst="rect">
              <a:avLst/>
            </a:prstGeom>
            <a:solidFill>
              <a:schemeClr val="bg1"/>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a-DK" sz="1400" b="0" i="1">
                  <a:latin typeface="Cambria Math"/>
                </a:rPr>
                <a:t>Evaluering:</a:t>
              </a:r>
            </a:p>
            <a:p>
              <a:r>
                <a:rPr lang="da-DK" sz="1400" b="0" i="1">
                  <a:latin typeface="Cambria Math"/>
                </a:rPr>
                <a:t/>
              </a:r>
              <a:br>
                <a:rPr lang="da-DK" sz="1400" b="0" i="1">
                  <a:latin typeface="Cambria Math"/>
                </a:rPr>
              </a:br>
              <a:r>
                <a:rPr lang="da-DK" sz="1400" b="0" i="0">
                  <a:latin typeface="Cambria Math" panose="02040503050406030204" pitchFamily="18" charset="0"/>
                  <a:ea typeface="Cambria Math"/>
                </a:rPr>
                <a:t>(</a:t>
              </a:r>
              <a:r>
                <a:rPr lang="da-DK" sz="1400" b="0" i="0">
                  <a:latin typeface="Cambria Math"/>
                  <a:ea typeface="Cambria Math"/>
                </a:rPr>
                <a:t>𝐿</a:t>
              </a:r>
              <a:r>
                <a:rPr lang="da-DK" sz="1400" b="0" i="0" baseline="-25000">
                  <a:latin typeface="Cambria Math"/>
                  <a:ea typeface="Cambria Math"/>
                </a:rPr>
                <a:t>𝑚𝑎𝑘𝑠</a:t>
              </a:r>
              <a:r>
                <a:rPr lang="da-DK" sz="1400" b="0" i="0">
                  <a:latin typeface="Cambria Math"/>
                  <a:ea typeface="Cambria Math"/>
                </a:rPr>
                <a:t> −𝐿</a:t>
              </a:r>
              <a:r>
                <a:rPr lang="da-DK" sz="1400" b="0" i="0" baseline="-25000">
                  <a:latin typeface="Cambria Math"/>
                  <a:ea typeface="Cambria Math"/>
                </a:rPr>
                <a:t>min</a:t>
              </a:r>
              <a:r>
                <a:rPr lang="da-DK" sz="1400" b="0" i="0" baseline="-25000">
                  <a:latin typeface="Cambria Math" panose="02040503050406030204" pitchFamily="18" charset="0"/>
                  <a:ea typeface="Cambria Math"/>
                </a:rPr>
                <a:t>)/</a:t>
              </a:r>
              <a:r>
                <a:rPr lang="da-DK" sz="1400" b="0" i="0">
                  <a:latin typeface="Cambria Math"/>
                  <a:ea typeface="Cambria Math"/>
                </a:rPr>
                <a:t>𝐿</a:t>
              </a:r>
              <a:r>
                <a:rPr lang="da-DK" sz="1400" b="0" i="0" baseline="-25000">
                  <a:latin typeface="Cambria Math"/>
                  <a:ea typeface="Cambria Math"/>
                </a:rPr>
                <a:t>𝑚𝑖𝑛</a:t>
              </a:r>
              <a:r>
                <a:rPr lang="da-DK" sz="1400"/>
                <a:t> </a:t>
              </a:r>
              <a:r>
                <a:rPr lang="da-DK" sz="1400">
                  <a:sym typeface="Symbol" panose="05050102010706020507" pitchFamily="18" charset="2"/>
                </a:rPr>
                <a:t></a:t>
              </a:r>
              <a:r>
                <a:rPr lang="da-DK" sz="1100" b="0" i="0">
                  <a:solidFill>
                    <a:schemeClr val="tx1"/>
                  </a:solidFill>
                  <a:effectLst/>
                  <a:latin typeface="+mn-lt"/>
                  <a:ea typeface="+mn-ea"/>
                  <a:cs typeface="+mn-cs"/>
                </a:rPr>
                <a:t>100% </a:t>
              </a:r>
              <a:endParaRPr lang="da-DK" sz="1400"/>
            </a:p>
          </xdr:txBody>
        </xdr:sp>
      </mc:Fallback>
    </mc:AlternateContent>
    <xdr:clientData/>
  </xdr:oneCellAnchor>
</xdr:wsDr>
</file>

<file path=xl/drawings/drawing3.xml><?xml version="1.0" encoding="utf-8"?>
<xdr:wsDr xmlns:xdr="http://schemas.openxmlformats.org/drawingml/2006/spreadsheetDrawing" xmlns:a="http://schemas.openxmlformats.org/drawingml/2006/main">
  <xdr:twoCellAnchor>
    <xdr:from>
      <xdr:col>0</xdr:col>
      <xdr:colOff>304800</xdr:colOff>
      <xdr:row>7</xdr:row>
      <xdr:rowOff>28576</xdr:rowOff>
    </xdr:from>
    <xdr:to>
      <xdr:col>8</xdr:col>
      <xdr:colOff>76201</xdr:colOff>
      <xdr:row>21</xdr:row>
      <xdr:rowOff>123826</xdr:rowOff>
    </xdr:to>
    <xdr:grpSp>
      <xdr:nvGrpSpPr>
        <xdr:cNvPr id="51" name="Gruppe 50"/>
        <xdr:cNvGrpSpPr/>
      </xdr:nvGrpSpPr>
      <xdr:grpSpPr>
        <a:xfrm>
          <a:off x="304800" y="1276351"/>
          <a:ext cx="2286001" cy="2362200"/>
          <a:chOff x="826769" y="2991485"/>
          <a:chExt cx="2286001" cy="2286000"/>
        </a:xfrm>
      </xdr:grpSpPr>
      <xdr:pic>
        <xdr:nvPicPr>
          <xdr:cNvPr id="52" name="Billede 5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6769" y="2991485"/>
            <a:ext cx="2286001" cy="228600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3" name="Forbindelse 52"/>
          <xdr:cNvSpPr/>
        </xdr:nvSpPr>
        <xdr:spPr>
          <a:xfrm>
            <a:off x="1356360" y="4650740"/>
            <a:ext cx="114300" cy="121920"/>
          </a:xfrm>
          <a:prstGeom prst="flowChartConnector">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da-DK"/>
          </a:p>
        </xdr:txBody>
      </xdr:sp>
      <xdr:sp macro="" textlink="">
        <xdr:nvSpPr>
          <xdr:cNvPr id="54" name="Forbindelse 53"/>
          <xdr:cNvSpPr/>
        </xdr:nvSpPr>
        <xdr:spPr>
          <a:xfrm>
            <a:off x="1356360" y="4429760"/>
            <a:ext cx="114300" cy="121920"/>
          </a:xfrm>
          <a:prstGeom prst="flowChartConnector">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da-DK"/>
          </a:p>
        </xdr:txBody>
      </xdr:sp>
      <xdr:sp macro="" textlink="">
        <xdr:nvSpPr>
          <xdr:cNvPr id="55" name="Forbindelse 54"/>
          <xdr:cNvSpPr/>
        </xdr:nvSpPr>
        <xdr:spPr>
          <a:xfrm>
            <a:off x="1356360" y="4224020"/>
            <a:ext cx="114300" cy="121920"/>
          </a:xfrm>
          <a:prstGeom prst="flowChartConnector">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da-DK"/>
          </a:p>
        </xdr:txBody>
      </xdr:sp>
      <xdr:sp macro="" textlink="">
        <xdr:nvSpPr>
          <xdr:cNvPr id="56" name="Forbindelse 55"/>
          <xdr:cNvSpPr/>
        </xdr:nvSpPr>
        <xdr:spPr>
          <a:xfrm>
            <a:off x="1356360" y="3987800"/>
            <a:ext cx="114300" cy="121920"/>
          </a:xfrm>
          <a:prstGeom prst="flowChartConnector">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da-DK"/>
          </a:p>
        </xdr:txBody>
      </xdr:sp>
      <xdr:sp macro="" textlink="">
        <xdr:nvSpPr>
          <xdr:cNvPr id="57" name="Forbindelse 56"/>
          <xdr:cNvSpPr/>
        </xdr:nvSpPr>
        <xdr:spPr>
          <a:xfrm>
            <a:off x="1356360" y="3728720"/>
            <a:ext cx="114300" cy="121285"/>
          </a:xfrm>
          <a:prstGeom prst="flowChartConnector">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da-DK"/>
          </a:p>
        </xdr:txBody>
      </xdr:sp>
      <xdr:sp macro="" textlink="">
        <xdr:nvSpPr>
          <xdr:cNvPr id="58" name="Forbindelse 57"/>
          <xdr:cNvSpPr/>
        </xdr:nvSpPr>
        <xdr:spPr>
          <a:xfrm>
            <a:off x="1356360" y="3507740"/>
            <a:ext cx="114300" cy="121920"/>
          </a:xfrm>
          <a:prstGeom prst="flowChartConnector">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da-DK"/>
          </a:p>
        </xdr:txBody>
      </xdr:sp>
      <xdr:sp macro="" textlink="">
        <xdr:nvSpPr>
          <xdr:cNvPr id="59" name="Forbindelse 58"/>
          <xdr:cNvSpPr/>
        </xdr:nvSpPr>
        <xdr:spPr>
          <a:xfrm>
            <a:off x="1584960" y="3507740"/>
            <a:ext cx="114300" cy="121920"/>
          </a:xfrm>
          <a:prstGeom prst="flowChartConnector">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da-DK"/>
          </a:p>
        </xdr:txBody>
      </xdr:sp>
      <xdr:sp macro="" textlink="">
        <xdr:nvSpPr>
          <xdr:cNvPr id="60" name="Forbindelse 59"/>
          <xdr:cNvSpPr/>
        </xdr:nvSpPr>
        <xdr:spPr>
          <a:xfrm>
            <a:off x="1805940" y="3507740"/>
            <a:ext cx="114300" cy="121920"/>
          </a:xfrm>
          <a:prstGeom prst="flowChartConnector">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da-DK"/>
          </a:p>
        </xdr:txBody>
      </xdr:sp>
      <xdr:sp macro="" textlink="">
        <xdr:nvSpPr>
          <xdr:cNvPr id="61" name="Forbindelse 60"/>
          <xdr:cNvSpPr/>
        </xdr:nvSpPr>
        <xdr:spPr>
          <a:xfrm>
            <a:off x="2026920" y="3507740"/>
            <a:ext cx="114300" cy="121920"/>
          </a:xfrm>
          <a:prstGeom prst="flowChartConnector">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da-DK"/>
          </a:p>
        </xdr:txBody>
      </xdr:sp>
      <xdr:sp macro="" textlink="">
        <xdr:nvSpPr>
          <xdr:cNvPr id="62" name="Forbindelse 61"/>
          <xdr:cNvSpPr/>
        </xdr:nvSpPr>
        <xdr:spPr>
          <a:xfrm>
            <a:off x="2263140" y="3507740"/>
            <a:ext cx="114300" cy="121920"/>
          </a:xfrm>
          <a:prstGeom prst="flowChartConnector">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da-DK"/>
          </a:p>
        </xdr:txBody>
      </xdr:sp>
      <xdr:sp macro="" textlink="">
        <xdr:nvSpPr>
          <xdr:cNvPr id="63" name="Forbindelse 62"/>
          <xdr:cNvSpPr/>
        </xdr:nvSpPr>
        <xdr:spPr>
          <a:xfrm>
            <a:off x="2499360" y="3507740"/>
            <a:ext cx="114300" cy="121920"/>
          </a:xfrm>
          <a:prstGeom prst="flowChartConnector">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da-DK"/>
          </a:p>
        </xdr:txBody>
      </xdr:sp>
      <xdr:sp macro="" textlink="">
        <xdr:nvSpPr>
          <xdr:cNvPr id="64" name="Forbindelse 63"/>
          <xdr:cNvSpPr/>
        </xdr:nvSpPr>
        <xdr:spPr>
          <a:xfrm>
            <a:off x="2499360" y="3727450"/>
            <a:ext cx="114300" cy="121920"/>
          </a:xfrm>
          <a:prstGeom prst="flowChartConnector">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da-DK"/>
          </a:p>
        </xdr:txBody>
      </xdr:sp>
      <xdr:sp macro="" textlink="">
        <xdr:nvSpPr>
          <xdr:cNvPr id="65" name="Forbindelse 64"/>
          <xdr:cNvSpPr/>
        </xdr:nvSpPr>
        <xdr:spPr>
          <a:xfrm>
            <a:off x="2499360" y="3942080"/>
            <a:ext cx="114300" cy="121920"/>
          </a:xfrm>
          <a:prstGeom prst="flowChartConnector">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da-DK"/>
          </a:p>
        </xdr:txBody>
      </xdr:sp>
      <xdr:sp macro="" textlink="">
        <xdr:nvSpPr>
          <xdr:cNvPr id="66" name="Forbindelse 65"/>
          <xdr:cNvSpPr/>
        </xdr:nvSpPr>
        <xdr:spPr>
          <a:xfrm>
            <a:off x="2499360" y="4178300"/>
            <a:ext cx="114300" cy="121920"/>
          </a:xfrm>
          <a:prstGeom prst="flowChartConnector">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da-DK"/>
          </a:p>
        </xdr:txBody>
      </xdr:sp>
      <xdr:sp macro="" textlink="">
        <xdr:nvSpPr>
          <xdr:cNvPr id="67" name="Forbindelse 66"/>
          <xdr:cNvSpPr/>
        </xdr:nvSpPr>
        <xdr:spPr>
          <a:xfrm>
            <a:off x="2499360" y="4429760"/>
            <a:ext cx="114300" cy="121920"/>
          </a:xfrm>
          <a:prstGeom prst="flowChartConnector">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da-DK"/>
          </a:p>
        </xdr:txBody>
      </xdr:sp>
      <xdr:sp macro="" textlink="">
        <xdr:nvSpPr>
          <xdr:cNvPr id="68" name="Forbindelse 67"/>
          <xdr:cNvSpPr/>
        </xdr:nvSpPr>
        <xdr:spPr>
          <a:xfrm>
            <a:off x="2499360" y="4650740"/>
            <a:ext cx="114300" cy="121920"/>
          </a:xfrm>
          <a:prstGeom prst="flowChartConnector">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da-DK"/>
          </a:p>
        </xdr:txBody>
      </xdr:sp>
      <xdr:sp macro="" textlink="">
        <xdr:nvSpPr>
          <xdr:cNvPr id="69" name="Forbindelse 68"/>
          <xdr:cNvSpPr/>
        </xdr:nvSpPr>
        <xdr:spPr>
          <a:xfrm>
            <a:off x="1592580" y="4650740"/>
            <a:ext cx="114300" cy="121920"/>
          </a:xfrm>
          <a:prstGeom prst="flowChartConnector">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da-DK"/>
          </a:p>
        </xdr:txBody>
      </xdr:sp>
      <xdr:sp macro="" textlink="">
        <xdr:nvSpPr>
          <xdr:cNvPr id="70" name="Forbindelse 69"/>
          <xdr:cNvSpPr/>
        </xdr:nvSpPr>
        <xdr:spPr>
          <a:xfrm>
            <a:off x="2270760" y="4650740"/>
            <a:ext cx="114300" cy="121920"/>
          </a:xfrm>
          <a:prstGeom prst="flowChartConnector">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da-DK"/>
          </a:p>
        </xdr:txBody>
      </xdr:sp>
      <xdr:sp macro="" textlink="">
        <xdr:nvSpPr>
          <xdr:cNvPr id="71" name="Forbindelse 70"/>
          <xdr:cNvSpPr/>
        </xdr:nvSpPr>
        <xdr:spPr>
          <a:xfrm>
            <a:off x="1455420" y="4879340"/>
            <a:ext cx="114300" cy="121920"/>
          </a:xfrm>
          <a:prstGeom prst="flowChartConnector">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da-DK"/>
          </a:p>
        </xdr:txBody>
      </xdr:sp>
      <xdr:sp macro="" textlink="">
        <xdr:nvSpPr>
          <xdr:cNvPr id="72" name="Forbindelse 71"/>
          <xdr:cNvSpPr/>
        </xdr:nvSpPr>
        <xdr:spPr>
          <a:xfrm>
            <a:off x="1912620" y="4879340"/>
            <a:ext cx="114300" cy="121920"/>
          </a:xfrm>
          <a:prstGeom prst="flowChartConnector">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da-DK"/>
          </a:p>
        </xdr:txBody>
      </xdr:sp>
      <xdr:sp macro="" textlink="">
        <xdr:nvSpPr>
          <xdr:cNvPr id="73" name="Forbindelse 72"/>
          <xdr:cNvSpPr/>
        </xdr:nvSpPr>
        <xdr:spPr>
          <a:xfrm>
            <a:off x="2377440" y="4879340"/>
            <a:ext cx="114300" cy="121920"/>
          </a:xfrm>
          <a:prstGeom prst="flowChartConnector">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da-DK"/>
          </a:p>
        </xdr:txBody>
      </xdr:sp>
      <xdr:sp macro="" textlink="">
        <xdr:nvSpPr>
          <xdr:cNvPr id="74" name="Forbindelse 73"/>
          <xdr:cNvSpPr/>
        </xdr:nvSpPr>
        <xdr:spPr>
          <a:xfrm>
            <a:off x="2927985" y="5026025"/>
            <a:ext cx="114300" cy="121920"/>
          </a:xfrm>
          <a:prstGeom prst="flowChartConnector">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da-DK"/>
          </a:p>
        </xdr:txBody>
      </xdr:sp>
      <xdr:sp macro="" textlink="">
        <xdr:nvSpPr>
          <xdr:cNvPr id="75" name="Forbindelse 74"/>
          <xdr:cNvSpPr/>
        </xdr:nvSpPr>
        <xdr:spPr>
          <a:xfrm>
            <a:off x="2975610" y="4134485"/>
            <a:ext cx="114300" cy="121920"/>
          </a:xfrm>
          <a:prstGeom prst="flowChartConnector">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da-DK"/>
          </a:p>
        </xdr:txBody>
      </xdr:sp>
      <xdr:sp macro="" textlink="">
        <xdr:nvSpPr>
          <xdr:cNvPr id="76" name="Forbindelse 75"/>
          <xdr:cNvSpPr/>
        </xdr:nvSpPr>
        <xdr:spPr>
          <a:xfrm>
            <a:off x="1813560" y="4113530"/>
            <a:ext cx="114300" cy="121920"/>
          </a:xfrm>
          <a:prstGeom prst="flowChartConnector">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da-DK"/>
          </a:p>
        </xdr:txBody>
      </xdr:sp>
      <xdr:sp macro="" textlink="">
        <xdr:nvSpPr>
          <xdr:cNvPr id="77" name="Forbindelse 76"/>
          <xdr:cNvSpPr/>
        </xdr:nvSpPr>
        <xdr:spPr>
          <a:xfrm>
            <a:off x="927735" y="4995545"/>
            <a:ext cx="114300" cy="121920"/>
          </a:xfrm>
          <a:prstGeom prst="flowChartConnector">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da-DK"/>
          </a:p>
        </xdr:txBody>
      </xdr:sp>
      <xdr:sp macro="" textlink="">
        <xdr:nvSpPr>
          <xdr:cNvPr id="78" name="Forbindelse 77"/>
          <xdr:cNvSpPr/>
        </xdr:nvSpPr>
        <xdr:spPr>
          <a:xfrm>
            <a:off x="927735" y="4134485"/>
            <a:ext cx="114300" cy="121920"/>
          </a:xfrm>
          <a:prstGeom prst="flowChartConnector">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da-DK"/>
          </a:p>
        </xdr:txBody>
      </xdr:sp>
    </xdr:grpSp>
    <xdr:clientData/>
  </xdr:twoCellAnchor>
  <xdr:twoCellAnchor>
    <xdr:from>
      <xdr:col>0</xdr:col>
      <xdr:colOff>304800</xdr:colOff>
      <xdr:row>7</xdr:row>
      <xdr:rowOff>28576</xdr:rowOff>
    </xdr:from>
    <xdr:to>
      <xdr:col>8</xdr:col>
      <xdr:colOff>76201</xdr:colOff>
      <xdr:row>21</xdr:row>
      <xdr:rowOff>38101</xdr:rowOff>
    </xdr:to>
    <xdr:grpSp>
      <xdr:nvGrpSpPr>
        <xdr:cNvPr id="31" name="Gruppe 30"/>
        <xdr:cNvGrpSpPr/>
      </xdr:nvGrpSpPr>
      <xdr:grpSpPr>
        <a:xfrm>
          <a:off x="304800" y="1276351"/>
          <a:ext cx="2286001" cy="2276475"/>
          <a:chOff x="858402" y="2986904"/>
          <a:chExt cx="2286001" cy="2286000"/>
        </a:xfrm>
      </xdr:grpSpPr>
      <xdr:pic>
        <xdr:nvPicPr>
          <xdr:cNvPr id="32" name="Billede 3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8402" y="2986904"/>
            <a:ext cx="2286001" cy="228600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33" name="Forbindelse 32"/>
          <xdr:cNvSpPr/>
        </xdr:nvSpPr>
        <xdr:spPr>
          <a:xfrm>
            <a:off x="1356360" y="4650740"/>
            <a:ext cx="114300" cy="121920"/>
          </a:xfrm>
          <a:prstGeom prst="flowChartConnector">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da-DK"/>
          </a:p>
        </xdr:txBody>
      </xdr:sp>
      <xdr:sp macro="" textlink="">
        <xdr:nvSpPr>
          <xdr:cNvPr id="34" name="Forbindelse 33"/>
          <xdr:cNvSpPr/>
        </xdr:nvSpPr>
        <xdr:spPr>
          <a:xfrm>
            <a:off x="1356360" y="4429760"/>
            <a:ext cx="114300" cy="121920"/>
          </a:xfrm>
          <a:prstGeom prst="flowChartConnector">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da-DK"/>
          </a:p>
        </xdr:txBody>
      </xdr:sp>
      <xdr:sp macro="" textlink="">
        <xdr:nvSpPr>
          <xdr:cNvPr id="35" name="Forbindelse 34"/>
          <xdr:cNvSpPr/>
        </xdr:nvSpPr>
        <xdr:spPr>
          <a:xfrm>
            <a:off x="1356360" y="4224020"/>
            <a:ext cx="114300" cy="121920"/>
          </a:xfrm>
          <a:prstGeom prst="flowChartConnector">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da-DK"/>
          </a:p>
        </xdr:txBody>
      </xdr:sp>
      <xdr:sp macro="" textlink="">
        <xdr:nvSpPr>
          <xdr:cNvPr id="36" name="Forbindelse 35"/>
          <xdr:cNvSpPr/>
        </xdr:nvSpPr>
        <xdr:spPr>
          <a:xfrm>
            <a:off x="1356360" y="3987800"/>
            <a:ext cx="114300" cy="121920"/>
          </a:xfrm>
          <a:prstGeom prst="flowChartConnector">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da-DK"/>
          </a:p>
        </xdr:txBody>
      </xdr:sp>
      <xdr:sp macro="" textlink="">
        <xdr:nvSpPr>
          <xdr:cNvPr id="37" name="Forbindelse 36"/>
          <xdr:cNvSpPr/>
        </xdr:nvSpPr>
        <xdr:spPr>
          <a:xfrm>
            <a:off x="1356360" y="3728720"/>
            <a:ext cx="114300" cy="121285"/>
          </a:xfrm>
          <a:prstGeom prst="flowChartConnector">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da-DK"/>
          </a:p>
        </xdr:txBody>
      </xdr:sp>
      <xdr:sp macro="" textlink="">
        <xdr:nvSpPr>
          <xdr:cNvPr id="38" name="Forbindelse 37"/>
          <xdr:cNvSpPr/>
        </xdr:nvSpPr>
        <xdr:spPr>
          <a:xfrm>
            <a:off x="1356360" y="3507740"/>
            <a:ext cx="114300" cy="121920"/>
          </a:xfrm>
          <a:prstGeom prst="flowChartConnector">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da-DK"/>
          </a:p>
        </xdr:txBody>
      </xdr:sp>
      <xdr:sp macro="" textlink="">
        <xdr:nvSpPr>
          <xdr:cNvPr id="39" name="Forbindelse 38"/>
          <xdr:cNvSpPr/>
        </xdr:nvSpPr>
        <xdr:spPr>
          <a:xfrm>
            <a:off x="1584960" y="3507740"/>
            <a:ext cx="114300" cy="121920"/>
          </a:xfrm>
          <a:prstGeom prst="flowChartConnector">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da-DK"/>
          </a:p>
        </xdr:txBody>
      </xdr:sp>
      <xdr:sp macro="" textlink="">
        <xdr:nvSpPr>
          <xdr:cNvPr id="40" name="Forbindelse 39"/>
          <xdr:cNvSpPr/>
        </xdr:nvSpPr>
        <xdr:spPr>
          <a:xfrm>
            <a:off x="1805940" y="3507740"/>
            <a:ext cx="114300" cy="121920"/>
          </a:xfrm>
          <a:prstGeom prst="flowChartConnector">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da-DK"/>
          </a:p>
        </xdr:txBody>
      </xdr:sp>
      <xdr:sp macro="" textlink="">
        <xdr:nvSpPr>
          <xdr:cNvPr id="41" name="Forbindelse 40"/>
          <xdr:cNvSpPr/>
        </xdr:nvSpPr>
        <xdr:spPr>
          <a:xfrm>
            <a:off x="2026920" y="3507740"/>
            <a:ext cx="114300" cy="121920"/>
          </a:xfrm>
          <a:prstGeom prst="flowChartConnector">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da-DK"/>
          </a:p>
        </xdr:txBody>
      </xdr:sp>
      <xdr:sp macro="" textlink="">
        <xdr:nvSpPr>
          <xdr:cNvPr id="42" name="Forbindelse 41"/>
          <xdr:cNvSpPr/>
        </xdr:nvSpPr>
        <xdr:spPr>
          <a:xfrm>
            <a:off x="2263140" y="3507740"/>
            <a:ext cx="114300" cy="121920"/>
          </a:xfrm>
          <a:prstGeom prst="flowChartConnector">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da-DK"/>
          </a:p>
        </xdr:txBody>
      </xdr:sp>
      <xdr:sp macro="" textlink="">
        <xdr:nvSpPr>
          <xdr:cNvPr id="43" name="Forbindelse 42"/>
          <xdr:cNvSpPr/>
        </xdr:nvSpPr>
        <xdr:spPr>
          <a:xfrm>
            <a:off x="2499360" y="3507740"/>
            <a:ext cx="114300" cy="121920"/>
          </a:xfrm>
          <a:prstGeom prst="flowChartConnector">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da-DK"/>
          </a:p>
        </xdr:txBody>
      </xdr:sp>
      <xdr:sp macro="" textlink="">
        <xdr:nvSpPr>
          <xdr:cNvPr id="44" name="Forbindelse 43"/>
          <xdr:cNvSpPr/>
        </xdr:nvSpPr>
        <xdr:spPr>
          <a:xfrm>
            <a:off x="2499360" y="3727450"/>
            <a:ext cx="114300" cy="121920"/>
          </a:xfrm>
          <a:prstGeom prst="flowChartConnector">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da-DK"/>
          </a:p>
        </xdr:txBody>
      </xdr:sp>
      <xdr:sp macro="" textlink="">
        <xdr:nvSpPr>
          <xdr:cNvPr id="45" name="Forbindelse 44"/>
          <xdr:cNvSpPr/>
        </xdr:nvSpPr>
        <xdr:spPr>
          <a:xfrm>
            <a:off x="2499360" y="3942080"/>
            <a:ext cx="114300" cy="121920"/>
          </a:xfrm>
          <a:prstGeom prst="flowChartConnector">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da-DK"/>
          </a:p>
        </xdr:txBody>
      </xdr:sp>
      <xdr:sp macro="" textlink="">
        <xdr:nvSpPr>
          <xdr:cNvPr id="46" name="Forbindelse 45"/>
          <xdr:cNvSpPr/>
        </xdr:nvSpPr>
        <xdr:spPr>
          <a:xfrm>
            <a:off x="2499360" y="4178300"/>
            <a:ext cx="114300" cy="121920"/>
          </a:xfrm>
          <a:prstGeom prst="flowChartConnector">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da-DK"/>
          </a:p>
        </xdr:txBody>
      </xdr:sp>
      <xdr:sp macro="" textlink="">
        <xdr:nvSpPr>
          <xdr:cNvPr id="47" name="Forbindelse 46"/>
          <xdr:cNvSpPr/>
        </xdr:nvSpPr>
        <xdr:spPr>
          <a:xfrm>
            <a:off x="2499360" y="4429760"/>
            <a:ext cx="114300" cy="121920"/>
          </a:xfrm>
          <a:prstGeom prst="flowChartConnector">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da-DK"/>
          </a:p>
        </xdr:txBody>
      </xdr:sp>
      <xdr:sp macro="" textlink="">
        <xdr:nvSpPr>
          <xdr:cNvPr id="48" name="Forbindelse 47"/>
          <xdr:cNvSpPr/>
        </xdr:nvSpPr>
        <xdr:spPr>
          <a:xfrm>
            <a:off x="2499360" y="4650740"/>
            <a:ext cx="114300" cy="121920"/>
          </a:xfrm>
          <a:prstGeom prst="flowChartConnector">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da-DK"/>
          </a:p>
        </xdr:txBody>
      </xdr:sp>
      <xdr:sp macro="" textlink="">
        <xdr:nvSpPr>
          <xdr:cNvPr id="49" name="Forbindelse 48"/>
          <xdr:cNvSpPr/>
        </xdr:nvSpPr>
        <xdr:spPr>
          <a:xfrm>
            <a:off x="1592580" y="4650740"/>
            <a:ext cx="114300" cy="121920"/>
          </a:xfrm>
          <a:prstGeom prst="flowChartConnector">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da-DK"/>
          </a:p>
        </xdr:txBody>
      </xdr:sp>
      <xdr:sp macro="" textlink="">
        <xdr:nvSpPr>
          <xdr:cNvPr id="50" name="Forbindelse 49"/>
          <xdr:cNvSpPr/>
        </xdr:nvSpPr>
        <xdr:spPr>
          <a:xfrm>
            <a:off x="2270760" y="4650740"/>
            <a:ext cx="114300" cy="121920"/>
          </a:xfrm>
          <a:prstGeom prst="flowChartConnector">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da-DK"/>
          </a:p>
        </xdr:txBody>
      </xdr:sp>
      <xdr:sp macro="" textlink="">
        <xdr:nvSpPr>
          <xdr:cNvPr id="79" name="Forbindelse 78"/>
          <xdr:cNvSpPr/>
        </xdr:nvSpPr>
        <xdr:spPr>
          <a:xfrm>
            <a:off x="1455420" y="4879340"/>
            <a:ext cx="114300" cy="121920"/>
          </a:xfrm>
          <a:prstGeom prst="flowChartConnector">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da-DK"/>
          </a:p>
        </xdr:txBody>
      </xdr:sp>
      <xdr:sp macro="" textlink="">
        <xdr:nvSpPr>
          <xdr:cNvPr id="80" name="Forbindelse 79"/>
          <xdr:cNvSpPr/>
        </xdr:nvSpPr>
        <xdr:spPr>
          <a:xfrm>
            <a:off x="1912620" y="4879340"/>
            <a:ext cx="114300" cy="121920"/>
          </a:xfrm>
          <a:prstGeom prst="flowChartConnector">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da-DK"/>
          </a:p>
        </xdr:txBody>
      </xdr:sp>
      <xdr:sp macro="" textlink="">
        <xdr:nvSpPr>
          <xdr:cNvPr id="81" name="Forbindelse 80"/>
          <xdr:cNvSpPr/>
        </xdr:nvSpPr>
        <xdr:spPr>
          <a:xfrm>
            <a:off x="2377440" y="4879340"/>
            <a:ext cx="114300" cy="121920"/>
          </a:xfrm>
          <a:prstGeom prst="flowChartConnector">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da-DK"/>
          </a:p>
        </xdr:txBody>
      </xdr:sp>
      <xdr:sp macro="" textlink="">
        <xdr:nvSpPr>
          <xdr:cNvPr id="82" name="Forbindelse 81"/>
          <xdr:cNvSpPr/>
        </xdr:nvSpPr>
        <xdr:spPr>
          <a:xfrm>
            <a:off x="2927985" y="5026025"/>
            <a:ext cx="114300" cy="121920"/>
          </a:xfrm>
          <a:prstGeom prst="flowChartConnector">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da-DK"/>
          </a:p>
        </xdr:txBody>
      </xdr:sp>
      <xdr:sp macro="" textlink="">
        <xdr:nvSpPr>
          <xdr:cNvPr id="83" name="Forbindelse 82"/>
          <xdr:cNvSpPr/>
        </xdr:nvSpPr>
        <xdr:spPr>
          <a:xfrm>
            <a:off x="2975610" y="4134485"/>
            <a:ext cx="114300" cy="121920"/>
          </a:xfrm>
          <a:prstGeom prst="flowChartConnector">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da-DK"/>
          </a:p>
        </xdr:txBody>
      </xdr:sp>
      <xdr:sp macro="" textlink="">
        <xdr:nvSpPr>
          <xdr:cNvPr id="84" name="Forbindelse 83"/>
          <xdr:cNvSpPr/>
        </xdr:nvSpPr>
        <xdr:spPr>
          <a:xfrm>
            <a:off x="1813560" y="4113530"/>
            <a:ext cx="114300" cy="121920"/>
          </a:xfrm>
          <a:prstGeom prst="flowChartConnector">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da-DK"/>
          </a:p>
        </xdr:txBody>
      </xdr:sp>
      <xdr:sp macro="" textlink="">
        <xdr:nvSpPr>
          <xdr:cNvPr id="85" name="Forbindelse 84"/>
          <xdr:cNvSpPr/>
        </xdr:nvSpPr>
        <xdr:spPr>
          <a:xfrm>
            <a:off x="927735" y="4995545"/>
            <a:ext cx="114300" cy="121920"/>
          </a:xfrm>
          <a:prstGeom prst="flowChartConnector">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da-DK"/>
          </a:p>
        </xdr:txBody>
      </xdr:sp>
      <xdr:sp macro="" textlink="">
        <xdr:nvSpPr>
          <xdr:cNvPr id="86" name="Forbindelse 85"/>
          <xdr:cNvSpPr/>
        </xdr:nvSpPr>
        <xdr:spPr>
          <a:xfrm>
            <a:off x="927735" y="4134485"/>
            <a:ext cx="114300" cy="121920"/>
          </a:xfrm>
          <a:prstGeom prst="flowChartConnector">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da-DK"/>
          </a:p>
        </xdr:txBody>
      </xdr:sp>
      <xdr:sp macro="" textlink="">
        <xdr:nvSpPr>
          <xdr:cNvPr id="87" name="Forbindelse 86"/>
          <xdr:cNvSpPr/>
        </xdr:nvSpPr>
        <xdr:spPr>
          <a:xfrm>
            <a:off x="927735" y="3168650"/>
            <a:ext cx="114300" cy="121920"/>
          </a:xfrm>
          <a:prstGeom prst="flowChartConnector">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da-DK"/>
          </a:p>
        </xdr:txBody>
      </xdr:sp>
      <xdr:sp macro="" textlink="">
        <xdr:nvSpPr>
          <xdr:cNvPr id="88" name="Forbindelse 87"/>
          <xdr:cNvSpPr/>
        </xdr:nvSpPr>
        <xdr:spPr>
          <a:xfrm>
            <a:off x="2927985" y="3174365"/>
            <a:ext cx="114300" cy="121920"/>
          </a:xfrm>
          <a:prstGeom prst="flowChartConnector">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da-DK"/>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95250</xdr:colOff>
      <xdr:row>38</xdr:row>
      <xdr:rowOff>95249</xdr:rowOff>
    </xdr:from>
    <xdr:to>
      <xdr:col>4</xdr:col>
      <xdr:colOff>1266825</xdr:colOff>
      <xdr:row>57</xdr:row>
      <xdr:rowOff>19049</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39</xdr:row>
      <xdr:rowOff>0</xdr:rowOff>
    </xdr:from>
    <xdr:to>
      <xdr:col>5</xdr:col>
      <xdr:colOff>323850</xdr:colOff>
      <xdr:row>59</xdr:row>
      <xdr:rowOff>123825</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hyperlink" Target="http://deckard.mc.duke.edu/~samei/tg18"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5"/>
  <sheetViews>
    <sheetView tabSelected="1" topLeftCell="A30" workbookViewId="0">
      <selection activeCell="Q63" sqref="Q63"/>
    </sheetView>
  </sheetViews>
  <sheetFormatPr defaultRowHeight="12.75"/>
  <sheetData>
    <row r="1" spans="1:21" s="36" customFormat="1" ht="12.75" customHeight="1">
      <c r="A1" s="363" t="s">
        <v>246</v>
      </c>
      <c r="B1" s="364"/>
      <c r="C1" s="364"/>
      <c r="D1" s="364"/>
      <c r="E1" s="364"/>
      <c r="F1" s="364"/>
      <c r="G1" s="364"/>
      <c r="H1" s="364"/>
      <c r="I1" s="364"/>
      <c r="J1" s="364"/>
      <c r="K1" s="364"/>
      <c r="L1" s="364"/>
      <c r="M1" s="364"/>
      <c r="N1" s="364"/>
      <c r="O1" s="364"/>
      <c r="P1" s="364"/>
      <c r="Q1" s="364"/>
      <c r="R1" s="364"/>
      <c r="S1" s="364"/>
      <c r="T1" s="365"/>
    </row>
    <row r="2" spans="1:21" s="36" customFormat="1" ht="13.5" customHeight="1" thickBot="1">
      <c r="A2" s="366"/>
      <c r="B2" s="367"/>
      <c r="C2" s="367"/>
      <c r="D2" s="367"/>
      <c r="E2" s="367"/>
      <c r="F2" s="367"/>
      <c r="G2" s="367"/>
      <c r="H2" s="367"/>
      <c r="I2" s="367"/>
      <c r="J2" s="367"/>
      <c r="K2" s="367"/>
      <c r="L2" s="367"/>
      <c r="M2" s="367"/>
      <c r="N2" s="367"/>
      <c r="O2" s="367"/>
      <c r="P2" s="367"/>
      <c r="Q2" s="367"/>
      <c r="R2" s="367"/>
      <c r="S2" s="367"/>
      <c r="T2" s="368"/>
    </row>
    <row r="3" spans="1:21" s="36" customFormat="1" ht="13.5" thickBot="1">
      <c r="A3" s="343"/>
      <c r="B3" s="350"/>
      <c r="C3" s="350"/>
      <c r="D3" s="350"/>
      <c r="E3" s="350"/>
      <c r="F3" s="350"/>
      <c r="G3" s="350"/>
      <c r="H3" s="350"/>
      <c r="I3" s="350"/>
      <c r="J3" s="350"/>
      <c r="K3" s="350"/>
      <c r="L3" s="350"/>
      <c r="M3" s="350"/>
      <c r="N3" s="350"/>
      <c r="O3" s="350"/>
      <c r="P3" s="350"/>
      <c r="Q3" s="350"/>
      <c r="R3" s="350"/>
      <c r="S3" s="350"/>
      <c r="T3" s="351"/>
    </row>
    <row r="4" spans="1:21">
      <c r="A4" s="352" t="s">
        <v>240</v>
      </c>
      <c r="B4" s="353"/>
      <c r="C4" s="353"/>
      <c r="D4" s="353"/>
      <c r="E4" s="353"/>
      <c r="F4" s="353"/>
      <c r="G4" s="353"/>
      <c r="H4" s="353"/>
      <c r="I4" s="353"/>
      <c r="J4" s="353"/>
      <c r="K4" s="353"/>
      <c r="L4" s="353"/>
      <c r="M4" s="353"/>
      <c r="N4" s="353"/>
      <c r="O4" s="353"/>
      <c r="P4" s="353"/>
      <c r="Q4" s="353"/>
      <c r="R4" s="353"/>
      <c r="S4" s="353"/>
      <c r="T4" s="354"/>
    </row>
    <row r="5" spans="1:21">
      <c r="A5" s="355" t="s">
        <v>186</v>
      </c>
      <c r="B5" s="356"/>
      <c r="C5" s="356"/>
      <c r="D5" s="356"/>
      <c r="E5" s="356"/>
      <c r="F5" s="356"/>
      <c r="G5" s="356"/>
      <c r="H5" s="356"/>
      <c r="I5" s="356"/>
      <c r="J5" s="356"/>
      <c r="K5" s="356"/>
      <c r="L5" s="356"/>
      <c r="M5" s="356"/>
      <c r="N5" s="356"/>
      <c r="O5" s="356"/>
      <c r="P5" s="356"/>
      <c r="Q5" s="356"/>
      <c r="R5" s="356"/>
      <c r="S5" s="356"/>
      <c r="T5" s="357"/>
      <c r="U5" s="36"/>
    </row>
    <row r="6" spans="1:21">
      <c r="A6" s="355" t="s">
        <v>241</v>
      </c>
      <c r="B6" s="356"/>
      <c r="C6" s="356"/>
      <c r="D6" s="356"/>
      <c r="E6" s="356"/>
      <c r="F6" s="356"/>
      <c r="G6" s="356"/>
      <c r="H6" s="356"/>
      <c r="I6" s="356"/>
      <c r="J6" s="356"/>
      <c r="K6" s="356"/>
      <c r="L6" s="356"/>
      <c r="M6" s="356"/>
      <c r="N6" s="356"/>
      <c r="O6" s="356"/>
      <c r="P6" s="356"/>
      <c r="Q6" s="356"/>
      <c r="R6" s="356"/>
      <c r="S6" s="356"/>
      <c r="T6" s="357"/>
      <c r="U6" s="36"/>
    </row>
    <row r="7" spans="1:21">
      <c r="A7" s="355"/>
      <c r="B7" s="356"/>
      <c r="C7" s="356"/>
      <c r="D7" s="356"/>
      <c r="E7" s="356"/>
      <c r="F7" s="356"/>
      <c r="G7" s="356"/>
      <c r="H7" s="356"/>
      <c r="I7" s="356"/>
      <c r="J7" s="356"/>
      <c r="K7" s="356"/>
      <c r="L7" s="356"/>
      <c r="M7" s="356"/>
      <c r="N7" s="356"/>
      <c r="O7" s="356"/>
      <c r="P7" s="356"/>
      <c r="Q7" s="356"/>
      <c r="R7" s="356"/>
      <c r="S7" s="356"/>
      <c r="T7" s="357"/>
      <c r="U7" s="36"/>
    </row>
    <row r="8" spans="1:21">
      <c r="A8" s="355" t="s">
        <v>188</v>
      </c>
      <c r="B8" s="356"/>
      <c r="C8" s="356"/>
      <c r="D8" s="356"/>
      <c r="E8" s="356"/>
      <c r="F8" s="356"/>
      <c r="G8" s="356"/>
      <c r="H8" s="356"/>
      <c r="I8" s="356"/>
      <c r="J8" s="356"/>
      <c r="K8" s="356"/>
      <c r="L8" s="356"/>
      <c r="M8" s="356"/>
      <c r="N8" s="356"/>
      <c r="O8" s="356"/>
      <c r="P8" s="356"/>
      <c r="Q8" s="356"/>
      <c r="R8" s="356"/>
      <c r="S8" s="356"/>
      <c r="T8" s="357"/>
      <c r="U8" s="36"/>
    </row>
    <row r="9" spans="1:21" s="36" customFormat="1">
      <c r="A9" s="355"/>
      <c r="B9" s="356"/>
      <c r="C9" s="356"/>
      <c r="D9" s="356"/>
      <c r="E9" s="356"/>
      <c r="F9" s="356"/>
      <c r="G9" s="356"/>
      <c r="H9" s="356"/>
      <c r="I9" s="356"/>
      <c r="J9" s="356"/>
      <c r="K9" s="356"/>
      <c r="L9" s="356"/>
      <c r="M9" s="356"/>
      <c r="N9" s="356"/>
      <c r="O9" s="356"/>
      <c r="P9" s="356"/>
      <c r="Q9" s="356"/>
      <c r="R9" s="356"/>
      <c r="S9" s="356"/>
      <c r="T9" s="357"/>
    </row>
    <row r="10" spans="1:21" s="36" customFormat="1">
      <c r="A10" s="355" t="s">
        <v>230</v>
      </c>
      <c r="B10" s="356"/>
      <c r="C10" s="356"/>
      <c r="D10" s="356"/>
      <c r="E10" s="356"/>
      <c r="F10" s="356"/>
      <c r="G10" s="356"/>
      <c r="H10" s="356"/>
      <c r="I10" s="356"/>
      <c r="J10" s="356"/>
      <c r="K10" s="356"/>
      <c r="L10" s="356"/>
      <c r="M10" s="356"/>
      <c r="N10" s="356"/>
      <c r="O10" s="356"/>
      <c r="P10" s="356"/>
      <c r="Q10" s="356"/>
      <c r="R10" s="356"/>
      <c r="S10" s="356"/>
      <c r="T10" s="357"/>
    </row>
    <row r="11" spans="1:21" s="36" customFormat="1">
      <c r="A11" s="355"/>
      <c r="B11" s="356"/>
      <c r="C11" s="356"/>
      <c r="D11" s="356"/>
      <c r="E11" s="356"/>
      <c r="F11" s="356"/>
      <c r="G11" s="356"/>
      <c r="H11" s="356"/>
      <c r="I11" s="356"/>
      <c r="J11" s="356"/>
      <c r="K11" s="356"/>
      <c r="L11" s="356"/>
      <c r="M11" s="356"/>
      <c r="N11" s="356"/>
      <c r="O11" s="356"/>
      <c r="P11" s="356"/>
      <c r="Q11" s="356"/>
      <c r="R11" s="356"/>
      <c r="S11" s="356"/>
      <c r="T11" s="357"/>
    </row>
    <row r="12" spans="1:21" s="27" customFormat="1">
      <c r="A12" s="358" t="s">
        <v>231</v>
      </c>
      <c r="B12" s="356"/>
      <c r="C12" s="356"/>
      <c r="D12" s="356"/>
      <c r="E12" s="356"/>
      <c r="F12" s="356"/>
      <c r="G12" s="356"/>
      <c r="H12" s="356"/>
      <c r="I12" s="356"/>
      <c r="J12" s="356"/>
      <c r="K12" s="356"/>
      <c r="L12" s="356"/>
      <c r="M12" s="356"/>
      <c r="N12" s="356"/>
      <c r="O12" s="356"/>
      <c r="P12" s="356"/>
      <c r="Q12" s="356"/>
      <c r="R12" s="356"/>
      <c r="S12" s="356"/>
      <c r="T12" s="357"/>
    </row>
    <row r="13" spans="1:21" s="27" customFormat="1">
      <c r="A13" s="358"/>
      <c r="B13" s="356"/>
      <c r="C13" s="356"/>
      <c r="D13" s="356"/>
      <c r="E13" s="356"/>
      <c r="F13" s="356"/>
      <c r="G13" s="356"/>
      <c r="H13" s="356"/>
      <c r="I13" s="356"/>
      <c r="J13" s="356"/>
      <c r="K13" s="356"/>
      <c r="L13" s="356"/>
      <c r="M13" s="356"/>
      <c r="N13" s="356"/>
      <c r="O13" s="356"/>
      <c r="P13" s="356"/>
      <c r="Q13" s="356"/>
      <c r="R13" s="356"/>
      <c r="S13" s="356"/>
      <c r="T13" s="357"/>
    </row>
    <row r="14" spans="1:21">
      <c r="A14" s="355" t="s">
        <v>200</v>
      </c>
      <c r="B14" s="356"/>
      <c r="C14" s="356"/>
      <c r="D14" s="356"/>
      <c r="E14" s="356"/>
      <c r="F14" s="356"/>
      <c r="G14" s="356"/>
      <c r="H14" s="356"/>
      <c r="I14" s="356"/>
      <c r="J14" s="356"/>
      <c r="K14" s="356"/>
      <c r="L14" s="356"/>
      <c r="M14" s="356"/>
      <c r="N14" s="356"/>
      <c r="O14" s="356"/>
      <c r="P14" s="356"/>
      <c r="Q14" s="356"/>
      <c r="R14" s="356"/>
      <c r="S14" s="356"/>
      <c r="T14" s="357"/>
    </row>
    <row r="15" spans="1:21">
      <c r="A15" s="355"/>
      <c r="B15" s="356"/>
      <c r="C15" s="356"/>
      <c r="D15" s="356"/>
      <c r="E15" s="356"/>
      <c r="F15" s="356"/>
      <c r="G15" s="356"/>
      <c r="H15" s="356"/>
      <c r="I15" s="356"/>
      <c r="J15" s="356"/>
      <c r="K15" s="356"/>
      <c r="L15" s="356"/>
      <c r="M15" s="356"/>
      <c r="N15" s="356"/>
      <c r="O15" s="356"/>
      <c r="P15" s="356"/>
      <c r="Q15" s="356"/>
      <c r="R15" s="356"/>
      <c r="S15" s="356"/>
      <c r="T15" s="357"/>
    </row>
    <row r="16" spans="1:21">
      <c r="A16" s="358" t="s">
        <v>242</v>
      </c>
      <c r="B16" s="356"/>
      <c r="C16" s="356"/>
      <c r="D16" s="356"/>
      <c r="E16" s="356"/>
      <c r="F16" s="356"/>
      <c r="G16" s="356"/>
      <c r="H16" s="356"/>
      <c r="I16" s="356"/>
      <c r="J16" s="356"/>
      <c r="K16" s="356"/>
      <c r="L16" s="356"/>
      <c r="M16" s="356"/>
      <c r="N16" s="356"/>
      <c r="O16" s="356"/>
      <c r="P16" s="356"/>
      <c r="Q16" s="356"/>
      <c r="R16" s="356"/>
      <c r="S16" s="356"/>
      <c r="T16" s="357"/>
    </row>
    <row r="17" spans="1:20">
      <c r="A17" s="358" t="s">
        <v>243</v>
      </c>
      <c r="B17" s="356"/>
      <c r="C17" s="356"/>
      <c r="D17" s="356"/>
      <c r="E17" s="356"/>
      <c r="F17" s="356"/>
      <c r="G17" s="356"/>
      <c r="H17" s="356"/>
      <c r="I17" s="356"/>
      <c r="J17" s="356"/>
      <c r="K17" s="356"/>
      <c r="L17" s="356"/>
      <c r="M17" s="356"/>
      <c r="N17" s="356"/>
      <c r="O17" s="356"/>
      <c r="P17" s="356"/>
      <c r="Q17" s="356"/>
      <c r="R17" s="356"/>
      <c r="S17" s="356"/>
      <c r="T17" s="357"/>
    </row>
    <row r="18" spans="1:20">
      <c r="A18" s="355" t="s">
        <v>244</v>
      </c>
      <c r="B18" s="356"/>
      <c r="C18" s="356"/>
      <c r="D18" s="356"/>
      <c r="E18" s="356"/>
      <c r="F18" s="356"/>
      <c r="G18" s="356"/>
      <c r="H18" s="356"/>
      <c r="I18" s="356"/>
      <c r="J18" s="356"/>
      <c r="K18" s="356"/>
      <c r="L18" s="356"/>
      <c r="M18" s="356"/>
      <c r="N18" s="356"/>
      <c r="O18" s="356"/>
      <c r="P18" s="356"/>
      <c r="Q18" s="356"/>
      <c r="R18" s="356"/>
      <c r="S18" s="356"/>
      <c r="T18" s="357"/>
    </row>
    <row r="19" spans="1:20" s="36" customFormat="1">
      <c r="A19" s="358" t="s">
        <v>245</v>
      </c>
      <c r="B19" s="356"/>
      <c r="C19" s="356"/>
      <c r="D19" s="356"/>
      <c r="E19" s="356"/>
      <c r="F19" s="356"/>
      <c r="G19" s="356"/>
      <c r="H19" s="356"/>
      <c r="I19" s="356"/>
      <c r="J19" s="356"/>
      <c r="K19" s="356"/>
      <c r="L19" s="356"/>
      <c r="M19" s="356"/>
      <c r="N19" s="356"/>
      <c r="O19" s="356"/>
      <c r="P19" s="356"/>
      <c r="Q19" s="356"/>
      <c r="R19" s="356"/>
      <c r="S19" s="356"/>
      <c r="T19" s="357"/>
    </row>
    <row r="20" spans="1:20" s="36" customFormat="1">
      <c r="A20" s="355"/>
      <c r="B20" s="356"/>
      <c r="C20" s="356"/>
      <c r="D20" s="356"/>
      <c r="E20" s="356"/>
      <c r="F20" s="356"/>
      <c r="G20" s="356"/>
      <c r="H20" s="356"/>
      <c r="I20" s="356"/>
      <c r="J20" s="356"/>
      <c r="K20" s="356"/>
      <c r="L20" s="356"/>
      <c r="M20" s="356"/>
      <c r="N20" s="356"/>
      <c r="O20" s="356"/>
      <c r="P20" s="356"/>
      <c r="Q20" s="356"/>
      <c r="R20" s="356"/>
      <c r="S20" s="356"/>
      <c r="T20" s="357"/>
    </row>
    <row r="21" spans="1:20">
      <c r="A21" s="355" t="s">
        <v>189</v>
      </c>
      <c r="B21" s="356"/>
      <c r="C21" s="356"/>
      <c r="D21" s="356"/>
      <c r="E21" s="356"/>
      <c r="F21" s="356"/>
      <c r="G21" s="356"/>
      <c r="H21" s="356"/>
      <c r="I21" s="356"/>
      <c r="J21" s="356"/>
      <c r="K21" s="356"/>
      <c r="L21" s="356"/>
      <c r="M21" s="356"/>
      <c r="N21" s="356"/>
      <c r="O21" s="356"/>
      <c r="P21" s="356"/>
      <c r="Q21" s="356"/>
      <c r="R21" s="356"/>
      <c r="S21" s="356"/>
      <c r="T21" s="357"/>
    </row>
    <row r="22" spans="1:20" s="27" customFormat="1">
      <c r="A22" s="359" t="s">
        <v>239</v>
      </c>
      <c r="B22" s="356"/>
      <c r="C22" s="356"/>
      <c r="D22" s="356"/>
      <c r="E22" s="356"/>
      <c r="F22" s="356"/>
      <c r="G22" s="356"/>
      <c r="H22" s="356"/>
      <c r="I22" s="356"/>
      <c r="J22" s="356"/>
      <c r="K22" s="356"/>
      <c r="L22" s="356"/>
      <c r="M22" s="356"/>
      <c r="N22" s="356"/>
      <c r="O22" s="356"/>
      <c r="P22" s="356"/>
      <c r="Q22" s="356"/>
      <c r="R22" s="356"/>
      <c r="S22" s="356"/>
      <c r="T22" s="357"/>
    </row>
    <row r="23" spans="1:20">
      <c r="A23" s="355"/>
      <c r="B23" s="356"/>
      <c r="C23" s="356"/>
      <c r="D23" s="356"/>
      <c r="E23" s="356"/>
      <c r="F23" s="356"/>
      <c r="G23" s="356"/>
      <c r="H23" s="356"/>
      <c r="I23" s="356"/>
      <c r="J23" s="356"/>
      <c r="K23" s="356"/>
      <c r="L23" s="356"/>
      <c r="M23" s="356"/>
      <c r="N23" s="356"/>
      <c r="O23" s="356"/>
      <c r="P23" s="356"/>
      <c r="Q23" s="356"/>
      <c r="R23" s="356"/>
      <c r="S23" s="356"/>
      <c r="T23" s="357"/>
    </row>
    <row r="24" spans="1:20">
      <c r="A24" s="355" t="s">
        <v>190</v>
      </c>
      <c r="B24" s="356"/>
      <c r="C24" s="356"/>
      <c r="D24" s="356"/>
      <c r="E24" s="356"/>
      <c r="F24" s="356"/>
      <c r="G24" s="356"/>
      <c r="H24" s="356"/>
      <c r="I24" s="356"/>
      <c r="J24" s="356"/>
      <c r="K24" s="356"/>
      <c r="L24" s="356"/>
      <c r="M24" s="356"/>
      <c r="N24" s="356"/>
      <c r="O24" s="356"/>
      <c r="P24" s="356"/>
      <c r="Q24" s="356"/>
      <c r="R24" s="356"/>
      <c r="S24" s="356"/>
      <c r="T24" s="357"/>
    </row>
    <row r="25" spans="1:20">
      <c r="A25" s="355" t="s">
        <v>192</v>
      </c>
      <c r="B25" s="356"/>
      <c r="C25" s="356"/>
      <c r="D25" s="356"/>
      <c r="E25" s="356"/>
      <c r="F25" s="356"/>
      <c r="G25" s="356"/>
      <c r="H25" s="356"/>
      <c r="I25" s="356"/>
      <c r="J25" s="356"/>
      <c r="K25" s="356"/>
      <c r="L25" s="356"/>
      <c r="M25" s="356"/>
      <c r="N25" s="356"/>
      <c r="O25" s="356"/>
      <c r="P25" s="356"/>
      <c r="Q25" s="356"/>
      <c r="R25" s="356"/>
      <c r="S25" s="356"/>
      <c r="T25" s="357"/>
    </row>
    <row r="26" spans="1:20">
      <c r="A26" s="355" t="s">
        <v>193</v>
      </c>
      <c r="B26" s="356"/>
      <c r="C26" s="356"/>
      <c r="D26" s="356"/>
      <c r="E26" s="356"/>
      <c r="F26" s="356"/>
      <c r="G26" s="356"/>
      <c r="H26" s="356"/>
      <c r="I26" s="356"/>
      <c r="J26" s="356"/>
      <c r="K26" s="356"/>
      <c r="L26" s="356"/>
      <c r="M26" s="356"/>
      <c r="N26" s="356"/>
      <c r="O26" s="356"/>
      <c r="P26" s="356"/>
      <c r="Q26" s="356"/>
      <c r="R26" s="356"/>
      <c r="S26" s="356"/>
      <c r="T26" s="357"/>
    </row>
    <row r="27" spans="1:20">
      <c r="A27" s="355"/>
      <c r="B27" s="356"/>
      <c r="C27" s="356"/>
      <c r="D27" s="356"/>
      <c r="E27" s="356"/>
      <c r="F27" s="356"/>
      <c r="G27" s="356"/>
      <c r="H27" s="356"/>
      <c r="I27" s="356"/>
      <c r="J27" s="356"/>
      <c r="K27" s="356"/>
      <c r="L27" s="356"/>
      <c r="M27" s="356"/>
      <c r="N27" s="356"/>
      <c r="O27" s="356"/>
      <c r="P27" s="356"/>
      <c r="Q27" s="356"/>
      <c r="R27" s="356"/>
      <c r="S27" s="356"/>
      <c r="T27" s="357"/>
    </row>
    <row r="28" spans="1:20">
      <c r="A28" s="355" t="s">
        <v>191</v>
      </c>
      <c r="B28" s="356"/>
      <c r="C28" s="356"/>
      <c r="D28" s="356"/>
      <c r="E28" s="356"/>
      <c r="F28" s="356"/>
      <c r="G28" s="356"/>
      <c r="H28" s="356"/>
      <c r="I28" s="356"/>
      <c r="J28" s="356"/>
      <c r="K28" s="356"/>
      <c r="L28" s="356"/>
      <c r="M28" s="356"/>
      <c r="N28" s="356"/>
      <c r="O28" s="356"/>
      <c r="P28" s="356"/>
      <c r="Q28" s="356"/>
      <c r="R28" s="356"/>
      <c r="S28" s="356"/>
      <c r="T28" s="357"/>
    </row>
    <row r="29" spans="1:20">
      <c r="A29" s="355"/>
      <c r="B29" s="356"/>
      <c r="C29" s="356"/>
      <c r="D29" s="356"/>
      <c r="E29" s="356"/>
      <c r="F29" s="356"/>
      <c r="G29" s="356"/>
      <c r="H29" s="356"/>
      <c r="I29" s="356"/>
      <c r="J29" s="356"/>
      <c r="K29" s="356"/>
      <c r="L29" s="356"/>
      <c r="M29" s="356"/>
      <c r="N29" s="356"/>
      <c r="O29" s="356"/>
      <c r="P29" s="356"/>
      <c r="Q29" s="356"/>
      <c r="R29" s="356"/>
      <c r="S29" s="356"/>
      <c r="T29" s="357"/>
    </row>
    <row r="30" spans="1:20">
      <c r="A30" s="358" t="s">
        <v>195</v>
      </c>
      <c r="B30" s="356"/>
      <c r="C30" s="356"/>
      <c r="D30" s="356"/>
      <c r="E30" s="356"/>
      <c r="F30" s="356"/>
      <c r="G30" s="356"/>
      <c r="H30" s="356"/>
      <c r="I30" s="356"/>
      <c r="J30" s="356"/>
      <c r="K30" s="356"/>
      <c r="L30" s="356"/>
      <c r="M30" s="356"/>
      <c r="N30" s="356"/>
      <c r="O30" s="356"/>
      <c r="P30" s="356"/>
      <c r="Q30" s="356"/>
      <c r="R30" s="356"/>
      <c r="S30" s="356"/>
      <c r="T30" s="357"/>
    </row>
    <row r="31" spans="1:20">
      <c r="A31" s="355"/>
      <c r="B31" s="356"/>
      <c r="C31" s="356"/>
      <c r="D31" s="356"/>
      <c r="E31" s="356"/>
      <c r="F31" s="356"/>
      <c r="G31" s="356"/>
      <c r="H31" s="356"/>
      <c r="I31" s="356"/>
      <c r="J31" s="356"/>
      <c r="K31" s="356"/>
      <c r="L31" s="356"/>
      <c r="M31" s="356"/>
      <c r="N31" s="356"/>
      <c r="O31" s="356"/>
      <c r="P31" s="356"/>
      <c r="Q31" s="356"/>
      <c r="R31" s="356"/>
      <c r="S31" s="356"/>
      <c r="T31" s="357"/>
    </row>
    <row r="32" spans="1:20">
      <c r="A32" s="355" t="s">
        <v>187</v>
      </c>
      <c r="B32" s="356"/>
      <c r="C32" s="356"/>
      <c r="D32" s="356"/>
      <c r="E32" s="356"/>
      <c r="F32" s="356"/>
      <c r="G32" s="356"/>
      <c r="H32" s="356"/>
      <c r="I32" s="356"/>
      <c r="J32" s="356"/>
      <c r="K32" s="356"/>
      <c r="L32" s="356"/>
      <c r="M32" s="356"/>
      <c r="N32" s="356"/>
      <c r="O32" s="356"/>
      <c r="P32" s="356"/>
      <c r="Q32" s="356"/>
      <c r="R32" s="356"/>
      <c r="S32" s="356"/>
      <c r="T32" s="357"/>
    </row>
    <row r="33" spans="1:20">
      <c r="A33" s="355"/>
      <c r="B33" s="356"/>
      <c r="C33" s="356"/>
      <c r="D33" s="356"/>
      <c r="E33" s="356"/>
      <c r="F33" s="356"/>
      <c r="G33" s="356"/>
      <c r="H33" s="356"/>
      <c r="I33" s="356"/>
      <c r="J33" s="356"/>
      <c r="K33" s="356"/>
      <c r="L33" s="356"/>
      <c r="M33" s="356"/>
      <c r="N33" s="356"/>
      <c r="O33" s="356"/>
      <c r="P33" s="356"/>
      <c r="Q33" s="356"/>
      <c r="R33" s="356"/>
      <c r="S33" s="356"/>
      <c r="T33" s="357"/>
    </row>
    <row r="34" spans="1:20">
      <c r="A34" s="355"/>
      <c r="B34" s="356"/>
      <c r="C34" s="356"/>
      <c r="D34" s="356"/>
      <c r="E34" s="356"/>
      <c r="F34" s="356"/>
      <c r="G34" s="356"/>
      <c r="H34" s="356"/>
      <c r="I34" s="356"/>
      <c r="J34" s="356"/>
      <c r="K34" s="356"/>
      <c r="L34" s="356"/>
      <c r="M34" s="356"/>
      <c r="N34" s="356"/>
      <c r="O34" s="356"/>
      <c r="P34" s="356"/>
      <c r="Q34" s="356"/>
      <c r="R34" s="356"/>
      <c r="S34" s="356"/>
      <c r="T34" s="357"/>
    </row>
    <row r="35" spans="1:20">
      <c r="A35" s="355" t="s">
        <v>263</v>
      </c>
      <c r="B35" s="356"/>
      <c r="C35" s="356"/>
      <c r="D35" s="356"/>
      <c r="E35" s="356"/>
      <c r="F35" s="356"/>
      <c r="G35" s="356"/>
      <c r="H35" s="356"/>
      <c r="I35" s="356"/>
      <c r="J35" s="356"/>
      <c r="K35" s="356"/>
      <c r="L35" s="356"/>
      <c r="M35" s="356"/>
      <c r="N35" s="356"/>
      <c r="O35" s="356"/>
      <c r="P35" s="356"/>
      <c r="Q35" s="356"/>
      <c r="R35" s="356"/>
      <c r="S35" s="356"/>
      <c r="T35" s="357"/>
    </row>
    <row r="36" spans="1:20">
      <c r="A36" s="355"/>
      <c r="B36" s="356"/>
      <c r="C36" s="356"/>
      <c r="D36" s="356"/>
      <c r="E36" s="356"/>
      <c r="F36" s="356"/>
      <c r="G36" s="356"/>
      <c r="H36" s="356"/>
      <c r="I36" s="356"/>
      <c r="J36" s="356"/>
      <c r="K36" s="356"/>
      <c r="L36" s="356"/>
      <c r="M36" s="356"/>
      <c r="N36" s="356"/>
      <c r="O36" s="356"/>
      <c r="P36" s="356"/>
      <c r="Q36" s="356"/>
      <c r="R36" s="356"/>
      <c r="S36" s="356"/>
      <c r="T36" s="357"/>
    </row>
    <row r="37" spans="1:20">
      <c r="A37" s="355" t="s">
        <v>265</v>
      </c>
      <c r="B37" s="356"/>
      <c r="C37" s="356"/>
      <c r="D37" s="356"/>
      <c r="E37" s="356"/>
      <c r="F37" s="356"/>
      <c r="G37" s="356"/>
      <c r="H37" s="356"/>
      <c r="I37" s="356"/>
      <c r="J37" s="356"/>
      <c r="K37" s="356"/>
      <c r="L37" s="356"/>
      <c r="M37" s="356"/>
      <c r="N37" s="356"/>
      <c r="O37" s="356"/>
      <c r="P37" s="356"/>
      <c r="Q37" s="356"/>
      <c r="R37" s="356"/>
      <c r="S37" s="356"/>
      <c r="T37" s="357"/>
    </row>
    <row r="38" spans="1:20">
      <c r="A38" s="355" t="s">
        <v>259</v>
      </c>
      <c r="B38" s="356"/>
      <c r="C38" s="356"/>
      <c r="D38" s="356"/>
      <c r="E38" s="356"/>
      <c r="F38" s="356"/>
      <c r="G38" s="356"/>
      <c r="H38" s="356"/>
      <c r="I38" s="356"/>
      <c r="J38" s="356"/>
      <c r="K38" s="356"/>
      <c r="L38" s="356"/>
      <c r="M38" s="356"/>
      <c r="N38" s="356"/>
      <c r="O38" s="356"/>
      <c r="P38" s="356"/>
      <c r="Q38" s="356"/>
      <c r="R38" s="356"/>
      <c r="S38" s="356"/>
      <c r="T38" s="357"/>
    </row>
    <row r="39" spans="1:20" s="36" customFormat="1">
      <c r="A39" s="355"/>
      <c r="B39" s="356"/>
      <c r="C39" s="356"/>
      <c r="D39" s="356"/>
      <c r="E39" s="356"/>
      <c r="F39" s="356"/>
      <c r="G39" s="356"/>
      <c r="H39" s="356"/>
      <c r="I39" s="356"/>
      <c r="J39" s="356"/>
      <c r="K39" s="356"/>
      <c r="L39" s="356"/>
      <c r="M39" s="356"/>
      <c r="N39" s="356"/>
      <c r="O39" s="356"/>
      <c r="P39" s="356"/>
      <c r="Q39" s="356"/>
      <c r="R39" s="356"/>
      <c r="S39" s="356"/>
      <c r="T39" s="357"/>
    </row>
    <row r="40" spans="1:20">
      <c r="A40" s="355" t="s">
        <v>264</v>
      </c>
      <c r="B40" s="356"/>
      <c r="C40" s="356"/>
      <c r="D40" s="356"/>
      <c r="E40" s="356"/>
      <c r="F40" s="356"/>
      <c r="G40" s="356"/>
      <c r="H40" s="356"/>
      <c r="I40" s="356"/>
      <c r="J40" s="356"/>
      <c r="K40" s="356"/>
      <c r="L40" s="356"/>
      <c r="M40" s="356"/>
      <c r="N40" s="356"/>
      <c r="O40" s="356"/>
      <c r="P40" s="356"/>
      <c r="Q40" s="356"/>
      <c r="R40" s="356"/>
      <c r="S40" s="356"/>
      <c r="T40" s="357"/>
    </row>
    <row r="41" spans="1:20">
      <c r="A41" s="355" t="s">
        <v>266</v>
      </c>
      <c r="B41" s="356"/>
      <c r="C41" s="356"/>
      <c r="D41" s="356"/>
      <c r="E41" s="356"/>
      <c r="F41" s="356"/>
      <c r="G41" s="356"/>
      <c r="H41" s="356"/>
      <c r="I41" s="356"/>
      <c r="J41" s="356"/>
      <c r="K41" s="356"/>
      <c r="L41" s="356"/>
      <c r="M41" s="356"/>
      <c r="N41" s="356"/>
      <c r="O41" s="356"/>
      <c r="P41" s="356"/>
      <c r="Q41" s="356"/>
      <c r="R41" s="356"/>
      <c r="S41" s="356"/>
      <c r="T41" s="357"/>
    </row>
    <row r="42" spans="1:20" s="36" customFormat="1">
      <c r="A42" s="355"/>
      <c r="B42" s="356"/>
      <c r="C42" s="356"/>
      <c r="D42" s="356"/>
      <c r="E42" s="356"/>
      <c r="F42" s="356"/>
      <c r="G42" s="356"/>
      <c r="H42" s="356"/>
      <c r="I42" s="356"/>
      <c r="J42" s="356"/>
      <c r="K42" s="356"/>
      <c r="L42" s="356"/>
      <c r="M42" s="356"/>
      <c r="N42" s="356"/>
      <c r="O42" s="356"/>
      <c r="P42" s="356"/>
      <c r="Q42" s="356"/>
      <c r="R42" s="356"/>
      <c r="S42" s="356"/>
      <c r="T42" s="357"/>
    </row>
    <row r="43" spans="1:20">
      <c r="A43" s="355" t="s">
        <v>267</v>
      </c>
      <c r="B43" s="356"/>
      <c r="C43" s="356"/>
      <c r="D43" s="356"/>
      <c r="E43" s="356"/>
      <c r="F43" s="356"/>
      <c r="G43" s="356"/>
      <c r="H43" s="356"/>
      <c r="I43" s="356"/>
      <c r="J43" s="356"/>
      <c r="K43" s="356"/>
      <c r="L43" s="356"/>
      <c r="M43" s="356"/>
      <c r="N43" s="356"/>
      <c r="O43" s="356"/>
      <c r="P43" s="356"/>
      <c r="Q43" s="356"/>
      <c r="R43" s="356"/>
      <c r="S43" s="356"/>
      <c r="T43" s="357"/>
    </row>
    <row r="44" spans="1:20">
      <c r="A44" s="355" t="s">
        <v>268</v>
      </c>
      <c r="B44" s="356"/>
      <c r="C44" s="356"/>
      <c r="D44" s="356"/>
      <c r="E44" s="356"/>
      <c r="F44" s="356"/>
      <c r="G44" s="356"/>
      <c r="H44" s="356"/>
      <c r="I44" s="356"/>
      <c r="J44" s="356"/>
      <c r="K44" s="356"/>
      <c r="L44" s="356"/>
      <c r="M44" s="356"/>
      <c r="N44" s="356"/>
      <c r="O44" s="356"/>
      <c r="P44" s="356"/>
      <c r="Q44" s="356"/>
      <c r="R44" s="356"/>
      <c r="S44" s="356"/>
      <c r="T44" s="357"/>
    </row>
    <row r="45" spans="1:20" s="36" customFormat="1">
      <c r="A45" s="355"/>
      <c r="B45" s="356"/>
      <c r="C45" s="356"/>
      <c r="D45" s="356"/>
      <c r="E45" s="356"/>
      <c r="F45" s="356"/>
      <c r="G45" s="356"/>
      <c r="H45" s="356"/>
      <c r="I45" s="356"/>
      <c r="J45" s="356"/>
      <c r="K45" s="356"/>
      <c r="L45" s="356"/>
      <c r="M45" s="356"/>
      <c r="N45" s="356"/>
      <c r="O45" s="356"/>
      <c r="P45" s="356"/>
      <c r="Q45" s="356"/>
      <c r="R45" s="356"/>
      <c r="S45" s="356"/>
      <c r="T45" s="357"/>
    </row>
    <row r="46" spans="1:20">
      <c r="A46" s="355" t="s">
        <v>269</v>
      </c>
      <c r="B46" s="356"/>
      <c r="C46" s="356"/>
      <c r="D46" s="356"/>
      <c r="E46" s="356"/>
      <c r="F46" s="356"/>
      <c r="G46" s="356"/>
      <c r="H46" s="356"/>
      <c r="I46" s="356"/>
      <c r="J46" s="356"/>
      <c r="K46" s="356"/>
      <c r="L46" s="356"/>
      <c r="M46" s="356"/>
      <c r="N46" s="356"/>
      <c r="O46" s="356"/>
      <c r="P46" s="356"/>
      <c r="Q46" s="356"/>
      <c r="R46" s="356"/>
      <c r="S46" s="356"/>
      <c r="T46" s="357"/>
    </row>
    <row r="47" spans="1:20">
      <c r="A47" s="355" t="s">
        <v>270</v>
      </c>
      <c r="B47" s="356"/>
      <c r="C47" s="356"/>
      <c r="D47" s="356"/>
      <c r="E47" s="356"/>
      <c r="F47" s="356"/>
      <c r="G47" s="356"/>
      <c r="H47" s="356"/>
      <c r="I47" s="356"/>
      <c r="J47" s="356"/>
      <c r="K47" s="356"/>
      <c r="L47" s="356"/>
      <c r="M47" s="356"/>
      <c r="N47" s="356"/>
      <c r="O47" s="356"/>
      <c r="P47" s="356"/>
      <c r="Q47" s="356"/>
      <c r="R47" s="356"/>
      <c r="S47" s="356"/>
      <c r="T47" s="357"/>
    </row>
    <row r="48" spans="1:20">
      <c r="A48" s="355" t="s">
        <v>271</v>
      </c>
      <c r="B48" s="356"/>
      <c r="C48" s="356"/>
      <c r="D48" s="356"/>
      <c r="E48" s="356"/>
      <c r="F48" s="356"/>
      <c r="G48" s="356"/>
      <c r="H48" s="356"/>
      <c r="I48" s="356"/>
      <c r="J48" s="356"/>
      <c r="K48" s="356"/>
      <c r="L48" s="356"/>
      <c r="M48" s="356"/>
      <c r="N48" s="356"/>
      <c r="O48" s="356"/>
      <c r="P48" s="356"/>
      <c r="Q48" s="356"/>
      <c r="R48" s="356"/>
      <c r="S48" s="356"/>
      <c r="T48" s="357"/>
    </row>
    <row r="49" spans="1:20">
      <c r="A49" s="355" t="s">
        <v>272</v>
      </c>
      <c r="B49" s="356"/>
      <c r="C49" s="356"/>
      <c r="D49" s="356"/>
      <c r="E49" s="356"/>
      <c r="F49" s="356"/>
      <c r="G49" s="356"/>
      <c r="H49" s="356"/>
      <c r="I49" s="356"/>
      <c r="J49" s="356"/>
      <c r="K49" s="356"/>
      <c r="L49" s="356"/>
      <c r="M49" s="356"/>
      <c r="N49" s="356"/>
      <c r="O49" s="356"/>
      <c r="P49" s="356"/>
      <c r="Q49" s="356"/>
      <c r="R49" s="356"/>
      <c r="S49" s="356"/>
      <c r="T49" s="357"/>
    </row>
    <row r="50" spans="1:20">
      <c r="A50" s="355"/>
      <c r="B50" s="356"/>
      <c r="C50" s="356"/>
      <c r="D50" s="356"/>
      <c r="E50" s="356"/>
      <c r="F50" s="356"/>
      <c r="G50" s="356"/>
      <c r="H50" s="356"/>
      <c r="I50" s="356"/>
      <c r="J50" s="356"/>
      <c r="K50" s="356"/>
      <c r="L50" s="356"/>
      <c r="M50" s="356"/>
      <c r="N50" s="356"/>
      <c r="O50" s="356"/>
      <c r="P50" s="356"/>
      <c r="Q50" s="356"/>
      <c r="R50" s="356"/>
      <c r="S50" s="356"/>
      <c r="T50" s="357"/>
    </row>
    <row r="51" spans="1:20">
      <c r="A51" s="355" t="s">
        <v>273</v>
      </c>
      <c r="B51" s="356"/>
      <c r="C51" s="356"/>
      <c r="D51" s="356"/>
      <c r="E51" s="356"/>
      <c r="F51" s="356"/>
      <c r="G51" s="356"/>
      <c r="H51" s="356"/>
      <c r="I51" s="356"/>
      <c r="J51" s="356"/>
      <c r="K51" s="356"/>
      <c r="L51" s="356"/>
      <c r="M51" s="356"/>
      <c r="N51" s="356"/>
      <c r="O51" s="356"/>
      <c r="P51" s="356"/>
      <c r="Q51" s="356"/>
      <c r="R51" s="356"/>
      <c r="S51" s="356"/>
      <c r="T51" s="357"/>
    </row>
    <row r="52" spans="1:20">
      <c r="A52" s="355" t="s">
        <v>274</v>
      </c>
      <c r="B52" s="356"/>
      <c r="C52" s="356"/>
      <c r="D52" s="356"/>
      <c r="E52" s="356"/>
      <c r="F52" s="356"/>
      <c r="G52" s="356"/>
      <c r="H52" s="356"/>
      <c r="I52" s="356"/>
      <c r="J52" s="356"/>
      <c r="K52" s="356"/>
      <c r="L52" s="356"/>
      <c r="M52" s="356"/>
      <c r="N52" s="356"/>
      <c r="O52" s="356"/>
      <c r="P52" s="356"/>
      <c r="Q52" s="356"/>
      <c r="R52" s="356"/>
      <c r="S52" s="356"/>
      <c r="T52" s="357"/>
    </row>
    <row r="53" spans="1:20">
      <c r="A53" s="355"/>
      <c r="B53" s="356"/>
      <c r="C53" s="356"/>
      <c r="D53" s="356"/>
      <c r="E53" s="356"/>
      <c r="F53" s="356"/>
      <c r="G53" s="356"/>
      <c r="H53" s="356"/>
      <c r="I53" s="356"/>
      <c r="J53" s="356"/>
      <c r="K53" s="356"/>
      <c r="L53" s="356"/>
      <c r="M53" s="356"/>
      <c r="N53" s="356"/>
      <c r="O53" s="356"/>
      <c r="P53" s="356"/>
      <c r="Q53" s="356"/>
      <c r="R53" s="356"/>
      <c r="S53" s="356"/>
      <c r="T53" s="357"/>
    </row>
    <row r="54" spans="1:20">
      <c r="A54" s="355" t="s">
        <v>276</v>
      </c>
      <c r="B54" s="356"/>
      <c r="C54" s="356"/>
      <c r="D54" s="356"/>
      <c r="E54" s="356"/>
      <c r="F54" s="356"/>
      <c r="G54" s="356"/>
      <c r="H54" s="356"/>
      <c r="I54" s="356"/>
      <c r="J54" s="356"/>
      <c r="K54" s="356"/>
      <c r="L54" s="356"/>
      <c r="M54" s="356"/>
      <c r="N54" s="356"/>
      <c r="O54" s="356"/>
      <c r="P54" s="356"/>
      <c r="Q54" s="356"/>
      <c r="R54" s="356"/>
      <c r="S54" s="356"/>
      <c r="T54" s="357"/>
    </row>
    <row r="55" spans="1:20" ht="13.5" thickBot="1">
      <c r="A55" s="362" t="s">
        <v>277</v>
      </c>
      <c r="B55" s="360"/>
      <c r="C55" s="360"/>
      <c r="D55" s="360"/>
      <c r="E55" s="360"/>
      <c r="F55" s="360"/>
      <c r="G55" s="360"/>
      <c r="H55" s="360"/>
      <c r="I55" s="360"/>
      <c r="J55" s="360"/>
      <c r="K55" s="360"/>
      <c r="L55" s="360"/>
      <c r="M55" s="360"/>
      <c r="N55" s="360"/>
      <c r="O55" s="360"/>
      <c r="P55" s="360"/>
      <c r="Q55" s="360"/>
      <c r="R55" s="360"/>
      <c r="S55" s="360"/>
      <c r="T55" s="361"/>
    </row>
  </sheetData>
  <mergeCells count="1">
    <mergeCell ref="A1:T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8"/>
  <sheetViews>
    <sheetView workbookViewId="0">
      <selection activeCell="H37" sqref="H37"/>
    </sheetView>
  </sheetViews>
  <sheetFormatPr defaultRowHeight="12.75"/>
  <cols>
    <col min="1" max="1" width="9" customWidth="1"/>
    <col min="2" max="2" width="17.5703125" customWidth="1"/>
    <col min="3" max="3" width="16.5703125" bestFit="1" customWidth="1"/>
    <col min="4" max="4" width="21" customWidth="1"/>
    <col min="6" max="6" width="9" customWidth="1"/>
    <col min="7" max="7" width="48.85546875" customWidth="1"/>
  </cols>
  <sheetData>
    <row r="1" spans="1:7" ht="13.5" thickBot="1">
      <c r="A1" s="199" t="s">
        <v>98</v>
      </c>
      <c r="B1" s="200"/>
      <c r="F1" s="31"/>
    </row>
    <row r="2" spans="1:7" ht="18.75" thickBot="1">
      <c r="A2" s="200" t="s">
        <v>104</v>
      </c>
      <c r="B2" s="200"/>
      <c r="F2" s="227" t="s">
        <v>109</v>
      </c>
      <c r="G2" s="228" t="s">
        <v>113</v>
      </c>
    </row>
    <row r="3" spans="1:7" ht="16.5" customHeight="1">
      <c r="B3" s="212" t="s">
        <v>91</v>
      </c>
      <c r="C3" s="215">
        <v>7.0000000000000001E-3</v>
      </c>
      <c r="F3" s="229" t="s">
        <v>110</v>
      </c>
      <c r="G3" s="230" t="s">
        <v>103</v>
      </c>
    </row>
    <row r="4" spans="1:7" ht="16.5" customHeight="1">
      <c r="A4" s="30"/>
      <c r="B4" s="213" t="s">
        <v>94</v>
      </c>
      <c r="C4" s="216">
        <v>0.5</v>
      </c>
      <c r="F4" s="231" t="s">
        <v>111</v>
      </c>
      <c r="G4" s="230" t="s">
        <v>102</v>
      </c>
    </row>
    <row r="5" spans="1:7" ht="18" customHeight="1" thickBot="1">
      <c r="A5" s="30"/>
      <c r="B5" s="214" t="s">
        <v>95</v>
      </c>
      <c r="C5" s="217">
        <v>250</v>
      </c>
      <c r="F5" s="232" t="s">
        <v>116</v>
      </c>
      <c r="G5" s="233" t="s">
        <v>115</v>
      </c>
    </row>
    <row r="6" spans="1:7" ht="18">
      <c r="F6" s="234" t="s">
        <v>112</v>
      </c>
      <c r="G6" s="233" t="s">
        <v>107</v>
      </c>
    </row>
    <row r="7" spans="1:7" ht="16.5" customHeight="1" thickBot="1">
      <c r="F7" s="235" t="s">
        <v>108</v>
      </c>
      <c r="G7" s="236" t="s">
        <v>114</v>
      </c>
    </row>
    <row r="8" spans="1:7" ht="44.25" customHeight="1" thickBot="1">
      <c r="A8" s="224" t="s">
        <v>93</v>
      </c>
      <c r="B8" s="225" t="s">
        <v>117</v>
      </c>
      <c r="C8" s="224" t="s">
        <v>105</v>
      </c>
      <c r="D8" s="226" t="s">
        <v>106</v>
      </c>
    </row>
    <row r="9" spans="1:7">
      <c r="A9" s="218">
        <v>1</v>
      </c>
      <c r="B9" s="219">
        <f t="shared" ref="B9:B40" si="0">SUM(A9*$C$3)</f>
        <v>7.0000000000000001E-3</v>
      </c>
      <c r="C9" s="32">
        <f>SUM(B9*1.5)</f>
        <v>1.0500000000000001E-2</v>
      </c>
      <c r="D9" s="33">
        <f t="shared" ref="D9:D40" si="1">SUM(($C$5+B9)/($C$4+B9))</f>
        <v>493.11045364891521</v>
      </c>
    </row>
    <row r="10" spans="1:7">
      <c r="A10" s="220">
        <v>2</v>
      </c>
      <c r="B10" s="221">
        <f t="shared" si="0"/>
        <v>1.4E-2</v>
      </c>
      <c r="C10" s="28">
        <f t="shared" ref="C10:C73" si="2">SUM(B10*1.5)</f>
        <v>2.1000000000000001E-2</v>
      </c>
      <c r="D10" s="29">
        <f t="shared" si="1"/>
        <v>486.40856031128408</v>
      </c>
    </row>
    <row r="11" spans="1:7">
      <c r="A11" s="220">
        <v>3</v>
      </c>
      <c r="B11" s="221">
        <f t="shared" si="0"/>
        <v>2.1000000000000001E-2</v>
      </c>
      <c r="C11" s="28">
        <f t="shared" si="2"/>
        <v>3.15E-2</v>
      </c>
      <c r="D11" s="29">
        <f t="shared" si="1"/>
        <v>479.88675623800378</v>
      </c>
    </row>
    <row r="12" spans="1:7">
      <c r="A12" s="220">
        <v>4</v>
      </c>
      <c r="B12" s="221">
        <f t="shared" si="0"/>
        <v>2.8000000000000001E-2</v>
      </c>
      <c r="C12" s="28">
        <f t="shared" si="2"/>
        <v>4.2000000000000003E-2</v>
      </c>
      <c r="D12" s="29">
        <f t="shared" si="1"/>
        <v>473.53787878787875</v>
      </c>
    </row>
    <row r="13" spans="1:7">
      <c r="A13" s="220">
        <v>5</v>
      </c>
      <c r="B13" s="221">
        <f t="shared" si="0"/>
        <v>3.5000000000000003E-2</v>
      </c>
      <c r="C13" s="28">
        <f t="shared" si="2"/>
        <v>5.2500000000000005E-2</v>
      </c>
      <c r="D13" s="29">
        <f t="shared" si="1"/>
        <v>467.35514018691583</v>
      </c>
    </row>
    <row r="14" spans="1:7">
      <c r="A14" s="220">
        <v>6</v>
      </c>
      <c r="B14" s="221">
        <f t="shared" si="0"/>
        <v>4.2000000000000003E-2</v>
      </c>
      <c r="C14" s="28">
        <f t="shared" si="2"/>
        <v>6.3E-2</v>
      </c>
      <c r="D14" s="29">
        <f t="shared" si="1"/>
        <v>461.33210332103317</v>
      </c>
    </row>
    <row r="15" spans="1:7">
      <c r="A15" s="220">
        <v>7</v>
      </c>
      <c r="B15" s="221">
        <f t="shared" si="0"/>
        <v>4.9000000000000002E-2</v>
      </c>
      <c r="C15" s="28">
        <f t="shared" si="2"/>
        <v>7.350000000000001E-2</v>
      </c>
      <c r="D15" s="29">
        <f t="shared" si="1"/>
        <v>455.46265938069212</v>
      </c>
    </row>
    <row r="16" spans="1:7">
      <c r="A16" s="220">
        <v>8</v>
      </c>
      <c r="B16" s="221">
        <f t="shared" si="0"/>
        <v>5.6000000000000001E-2</v>
      </c>
      <c r="C16" s="28">
        <f t="shared" si="2"/>
        <v>8.4000000000000005E-2</v>
      </c>
      <c r="D16" s="29">
        <f t="shared" si="1"/>
        <v>449.74100719424456</v>
      </c>
    </row>
    <row r="17" spans="1:4">
      <c r="A17" s="220">
        <v>9</v>
      </c>
      <c r="B17" s="221">
        <f t="shared" si="0"/>
        <v>6.3E-2</v>
      </c>
      <c r="C17" s="28">
        <f t="shared" si="2"/>
        <v>9.4500000000000001E-2</v>
      </c>
      <c r="D17" s="29">
        <f t="shared" si="1"/>
        <v>444.16163410301954</v>
      </c>
    </row>
    <row r="18" spans="1:4">
      <c r="A18" s="220">
        <v>10</v>
      </c>
      <c r="B18" s="221">
        <f t="shared" si="0"/>
        <v>7.0000000000000007E-2</v>
      </c>
      <c r="C18" s="28">
        <f t="shared" si="2"/>
        <v>0.10500000000000001</v>
      </c>
      <c r="D18" s="29">
        <f t="shared" si="1"/>
        <v>438.71929824561397</v>
      </c>
    </row>
    <row r="19" spans="1:4">
      <c r="A19" s="220">
        <v>11</v>
      </c>
      <c r="B19" s="221">
        <f t="shared" si="0"/>
        <v>7.6999999999999999E-2</v>
      </c>
      <c r="C19" s="28">
        <f t="shared" si="2"/>
        <v>0.11549999999999999</v>
      </c>
      <c r="D19" s="29">
        <f t="shared" si="1"/>
        <v>433.40901213171583</v>
      </c>
    </row>
    <row r="20" spans="1:4">
      <c r="A20" s="220">
        <v>12</v>
      </c>
      <c r="B20" s="221">
        <f t="shared" si="0"/>
        <v>8.4000000000000005E-2</v>
      </c>
      <c r="C20" s="28">
        <f t="shared" si="2"/>
        <v>0.126</v>
      </c>
      <c r="D20" s="29">
        <f t="shared" si="1"/>
        <v>428.22602739726028</v>
      </c>
    </row>
    <row r="21" spans="1:4">
      <c r="A21" s="220">
        <v>13</v>
      </c>
      <c r="B21" s="221">
        <f t="shared" si="0"/>
        <v>9.0999999999999998E-2</v>
      </c>
      <c r="C21" s="28">
        <f t="shared" si="2"/>
        <v>0.13650000000000001</v>
      </c>
      <c r="D21" s="29">
        <f t="shared" si="1"/>
        <v>423.16582064297802</v>
      </c>
    </row>
    <row r="22" spans="1:4">
      <c r="A22" s="220">
        <v>14</v>
      </c>
      <c r="B22" s="221">
        <f t="shared" si="0"/>
        <v>9.8000000000000004E-2</v>
      </c>
      <c r="C22" s="28">
        <f t="shared" si="2"/>
        <v>0.14700000000000002</v>
      </c>
      <c r="D22" s="29">
        <f t="shared" si="1"/>
        <v>418.22408026755858</v>
      </c>
    </row>
    <row r="23" spans="1:4">
      <c r="A23" s="220">
        <v>15</v>
      </c>
      <c r="B23" s="221">
        <f t="shared" si="0"/>
        <v>0.105</v>
      </c>
      <c r="C23" s="28">
        <f t="shared" si="2"/>
        <v>0.1575</v>
      </c>
      <c r="D23" s="29">
        <f t="shared" si="1"/>
        <v>413.39669421487605</v>
      </c>
    </row>
    <row r="24" spans="1:4">
      <c r="A24" s="220">
        <v>16</v>
      </c>
      <c r="B24" s="221">
        <f t="shared" si="0"/>
        <v>0.112</v>
      </c>
      <c r="C24" s="28">
        <f t="shared" si="2"/>
        <v>0.16800000000000001</v>
      </c>
      <c r="D24" s="29">
        <f t="shared" si="1"/>
        <v>408.67973856209153</v>
      </c>
    </row>
    <row r="25" spans="1:4">
      <c r="A25" s="220">
        <v>17</v>
      </c>
      <c r="B25" s="221">
        <f t="shared" si="0"/>
        <v>0.11900000000000001</v>
      </c>
      <c r="C25" s="28">
        <f t="shared" si="2"/>
        <v>0.17850000000000002</v>
      </c>
      <c r="D25" s="29">
        <f t="shared" si="1"/>
        <v>404.06946688206784</v>
      </c>
    </row>
    <row r="26" spans="1:4">
      <c r="A26" s="220">
        <v>18</v>
      </c>
      <c r="B26" s="221">
        <f t="shared" si="0"/>
        <v>0.126</v>
      </c>
      <c r="C26" s="28">
        <f t="shared" si="2"/>
        <v>0.189</v>
      </c>
      <c r="D26" s="29">
        <f t="shared" si="1"/>
        <v>399.56230031948883</v>
      </c>
    </row>
    <row r="27" spans="1:4">
      <c r="A27" s="220">
        <v>19</v>
      </c>
      <c r="B27" s="221">
        <f t="shared" si="0"/>
        <v>0.13300000000000001</v>
      </c>
      <c r="C27" s="28">
        <f t="shared" si="2"/>
        <v>0.19950000000000001</v>
      </c>
      <c r="D27" s="29">
        <f t="shared" si="1"/>
        <v>395.15481832543446</v>
      </c>
    </row>
    <row r="28" spans="1:4">
      <c r="A28" s="220">
        <v>20</v>
      </c>
      <c r="B28" s="221">
        <f t="shared" si="0"/>
        <v>0.14000000000000001</v>
      </c>
      <c r="C28" s="28">
        <f t="shared" si="2"/>
        <v>0.21000000000000002</v>
      </c>
      <c r="D28" s="29">
        <f t="shared" si="1"/>
        <v>390.84374999999994</v>
      </c>
    </row>
    <row r="29" spans="1:4">
      <c r="A29" s="220">
        <v>21</v>
      </c>
      <c r="B29" s="221">
        <f t="shared" si="0"/>
        <v>0.14699999999999999</v>
      </c>
      <c r="C29" s="28">
        <f t="shared" si="2"/>
        <v>0.22049999999999997</v>
      </c>
      <c r="D29" s="29">
        <f t="shared" si="1"/>
        <v>386.6259659969088</v>
      </c>
    </row>
    <row r="30" spans="1:4">
      <c r="A30" s="220">
        <v>22</v>
      </c>
      <c r="B30" s="221">
        <f t="shared" si="0"/>
        <v>0.154</v>
      </c>
      <c r="C30" s="28">
        <f t="shared" si="2"/>
        <v>0.23099999999999998</v>
      </c>
      <c r="D30" s="29">
        <f t="shared" si="1"/>
        <v>382.4984709480122</v>
      </c>
    </row>
    <row r="31" spans="1:4">
      <c r="A31" s="220">
        <v>23</v>
      </c>
      <c r="B31" s="221">
        <f t="shared" si="0"/>
        <v>0.161</v>
      </c>
      <c r="C31" s="28">
        <f t="shared" si="2"/>
        <v>0.24149999999999999</v>
      </c>
      <c r="D31" s="29">
        <f t="shared" si="1"/>
        <v>378.45839636913763</v>
      </c>
    </row>
    <row r="32" spans="1:4">
      <c r="A32" s="220">
        <v>24</v>
      </c>
      <c r="B32" s="221">
        <f t="shared" si="0"/>
        <v>0.16800000000000001</v>
      </c>
      <c r="C32" s="28">
        <f t="shared" si="2"/>
        <v>0.252</v>
      </c>
      <c r="D32" s="29">
        <f t="shared" si="1"/>
        <v>374.50299401197606</v>
      </c>
    </row>
    <row r="33" spans="1:4">
      <c r="A33" s="220">
        <v>25</v>
      </c>
      <c r="B33" s="221">
        <f t="shared" si="0"/>
        <v>0.17500000000000002</v>
      </c>
      <c r="C33" s="28">
        <f t="shared" si="2"/>
        <v>0.26250000000000001</v>
      </c>
      <c r="D33" s="29">
        <f t="shared" si="1"/>
        <v>370.62962962962962</v>
      </c>
    </row>
    <row r="34" spans="1:4">
      <c r="A34" s="220">
        <v>26</v>
      </c>
      <c r="B34" s="221">
        <f t="shared" si="0"/>
        <v>0.182</v>
      </c>
      <c r="C34" s="28">
        <f t="shared" si="2"/>
        <v>0.27300000000000002</v>
      </c>
      <c r="D34" s="29">
        <f t="shared" si="1"/>
        <v>366.83577712609974</v>
      </c>
    </row>
    <row r="35" spans="1:4">
      <c r="A35" s="220">
        <v>27</v>
      </c>
      <c r="B35" s="221">
        <f t="shared" si="0"/>
        <v>0.189</v>
      </c>
      <c r="C35" s="28">
        <f t="shared" si="2"/>
        <v>0.28349999999999997</v>
      </c>
      <c r="D35" s="29">
        <f t="shared" si="1"/>
        <v>363.11901306240924</v>
      </c>
    </row>
    <row r="36" spans="1:4">
      <c r="A36" s="220">
        <v>28</v>
      </c>
      <c r="B36" s="221">
        <f t="shared" si="0"/>
        <v>0.19600000000000001</v>
      </c>
      <c r="C36" s="28">
        <f t="shared" si="2"/>
        <v>0.29400000000000004</v>
      </c>
      <c r="D36" s="29">
        <f t="shared" si="1"/>
        <v>359.47701149425291</v>
      </c>
    </row>
    <row r="37" spans="1:4">
      <c r="A37" s="220">
        <v>29</v>
      </c>
      <c r="B37" s="221">
        <f t="shared" si="0"/>
        <v>0.20300000000000001</v>
      </c>
      <c r="C37" s="28">
        <f t="shared" si="2"/>
        <v>0.30449999999999999</v>
      </c>
      <c r="D37" s="29">
        <f t="shared" si="1"/>
        <v>355.90753911806542</v>
      </c>
    </row>
    <row r="38" spans="1:4">
      <c r="A38" s="220">
        <v>30</v>
      </c>
      <c r="B38" s="221">
        <f t="shared" si="0"/>
        <v>0.21</v>
      </c>
      <c r="C38" s="28">
        <f t="shared" si="2"/>
        <v>0.315</v>
      </c>
      <c r="D38" s="29">
        <f t="shared" si="1"/>
        <v>352.4084507042254</v>
      </c>
    </row>
    <row r="39" spans="1:4">
      <c r="A39" s="220">
        <v>31</v>
      </c>
      <c r="B39" s="221">
        <f t="shared" si="0"/>
        <v>0.217</v>
      </c>
      <c r="C39" s="28">
        <f t="shared" si="2"/>
        <v>0.32550000000000001</v>
      </c>
      <c r="D39" s="29">
        <f t="shared" si="1"/>
        <v>348.97768479776852</v>
      </c>
    </row>
    <row r="40" spans="1:4">
      <c r="A40" s="220">
        <v>32</v>
      </c>
      <c r="B40" s="221">
        <f t="shared" si="0"/>
        <v>0.224</v>
      </c>
      <c r="C40" s="28">
        <f t="shared" si="2"/>
        <v>0.33600000000000002</v>
      </c>
      <c r="D40" s="29">
        <f t="shared" si="1"/>
        <v>345.61325966850831</v>
      </c>
    </row>
    <row r="41" spans="1:4">
      <c r="A41" s="220">
        <v>33</v>
      </c>
      <c r="B41" s="221">
        <f t="shared" ref="B41:B72" si="3">SUM(A41*$C$3)</f>
        <v>0.23100000000000001</v>
      </c>
      <c r="C41" s="28">
        <f t="shared" si="2"/>
        <v>0.34650000000000003</v>
      </c>
      <c r="D41" s="29">
        <f t="shared" ref="D41:D72" si="4">SUM(($C$5+B41)/($C$4+B41))</f>
        <v>342.31326949384407</v>
      </c>
    </row>
    <row r="42" spans="1:4">
      <c r="A42" s="220">
        <v>34</v>
      </c>
      <c r="B42" s="221">
        <f t="shared" si="3"/>
        <v>0.23800000000000002</v>
      </c>
      <c r="C42" s="28">
        <f t="shared" si="2"/>
        <v>0.35700000000000004</v>
      </c>
      <c r="D42" s="29">
        <f t="shared" si="4"/>
        <v>339.07588075880761</v>
      </c>
    </row>
    <row r="43" spans="1:4">
      <c r="A43" s="220">
        <v>35</v>
      </c>
      <c r="B43" s="221">
        <f t="shared" si="3"/>
        <v>0.245</v>
      </c>
      <c r="C43" s="28">
        <f t="shared" si="2"/>
        <v>0.36749999999999999</v>
      </c>
      <c r="D43" s="29">
        <f t="shared" si="4"/>
        <v>335.8993288590604</v>
      </c>
    </row>
    <row r="44" spans="1:4">
      <c r="A44" s="220">
        <v>36</v>
      </c>
      <c r="B44" s="221">
        <f t="shared" si="3"/>
        <v>0.252</v>
      </c>
      <c r="C44" s="28">
        <f t="shared" si="2"/>
        <v>0.378</v>
      </c>
      <c r="D44" s="29">
        <f t="shared" si="4"/>
        <v>332.78191489361706</v>
      </c>
    </row>
    <row r="45" spans="1:4">
      <c r="A45" s="220">
        <v>37</v>
      </c>
      <c r="B45" s="221">
        <f t="shared" si="3"/>
        <v>0.25900000000000001</v>
      </c>
      <c r="C45" s="28">
        <f t="shared" si="2"/>
        <v>0.38850000000000001</v>
      </c>
      <c r="D45" s="29">
        <f t="shared" si="4"/>
        <v>329.72200263504607</v>
      </c>
    </row>
    <row r="46" spans="1:4">
      <c r="A46" s="220">
        <v>38</v>
      </c>
      <c r="B46" s="221">
        <f t="shared" si="3"/>
        <v>0.26600000000000001</v>
      </c>
      <c r="C46" s="28">
        <f t="shared" si="2"/>
        <v>0.39900000000000002</v>
      </c>
      <c r="D46" s="29">
        <f t="shared" si="4"/>
        <v>326.71801566579632</v>
      </c>
    </row>
    <row r="47" spans="1:4">
      <c r="A47" s="220">
        <v>39</v>
      </c>
      <c r="B47" s="221">
        <f t="shared" si="3"/>
        <v>0.27300000000000002</v>
      </c>
      <c r="C47" s="28">
        <f t="shared" si="2"/>
        <v>0.40950000000000003</v>
      </c>
      <c r="D47" s="29">
        <f t="shared" si="4"/>
        <v>323.76843467011639</v>
      </c>
    </row>
    <row r="48" spans="1:4">
      <c r="A48" s="220">
        <v>40</v>
      </c>
      <c r="B48" s="221">
        <f t="shared" si="3"/>
        <v>0.28000000000000003</v>
      </c>
      <c r="C48" s="28">
        <f t="shared" si="2"/>
        <v>0.42000000000000004</v>
      </c>
      <c r="D48" s="29">
        <f t="shared" si="4"/>
        <v>320.87179487179486</v>
      </c>
    </row>
    <row r="49" spans="1:4">
      <c r="A49" s="220">
        <v>41</v>
      </c>
      <c r="B49" s="221">
        <f t="shared" si="3"/>
        <v>0.28700000000000003</v>
      </c>
      <c r="C49" s="28">
        <f t="shared" si="2"/>
        <v>0.43050000000000005</v>
      </c>
      <c r="D49" s="29">
        <f t="shared" si="4"/>
        <v>318.02668360864038</v>
      </c>
    </row>
    <row r="50" spans="1:4">
      <c r="A50" s="220">
        <v>42</v>
      </c>
      <c r="B50" s="221">
        <f t="shared" si="3"/>
        <v>0.29399999999999998</v>
      </c>
      <c r="C50" s="28">
        <f t="shared" si="2"/>
        <v>0.44099999999999995</v>
      </c>
      <c r="D50" s="29">
        <f t="shared" si="4"/>
        <v>315.23173803526447</v>
      </c>
    </row>
    <row r="51" spans="1:4">
      <c r="A51" s="220">
        <v>43</v>
      </c>
      <c r="B51" s="221">
        <f t="shared" si="3"/>
        <v>0.30099999999999999</v>
      </c>
      <c r="C51" s="28">
        <f t="shared" si="2"/>
        <v>0.45150000000000001</v>
      </c>
      <c r="D51" s="29">
        <f t="shared" si="4"/>
        <v>312.48564294631711</v>
      </c>
    </row>
    <row r="52" spans="1:4">
      <c r="A52" s="220">
        <v>44</v>
      </c>
      <c r="B52" s="221">
        <f t="shared" si="3"/>
        <v>0.308</v>
      </c>
      <c r="C52" s="28">
        <f t="shared" si="2"/>
        <v>0.46199999999999997</v>
      </c>
      <c r="D52" s="29">
        <f t="shared" si="4"/>
        <v>309.78712871287127</v>
      </c>
    </row>
    <row r="53" spans="1:4">
      <c r="A53" s="220">
        <v>45</v>
      </c>
      <c r="B53" s="221">
        <f t="shared" si="3"/>
        <v>0.315</v>
      </c>
      <c r="C53" s="28">
        <f t="shared" si="2"/>
        <v>0.47250000000000003</v>
      </c>
      <c r="D53" s="29">
        <f t="shared" si="4"/>
        <v>307.13496932515341</v>
      </c>
    </row>
    <row r="54" spans="1:4">
      <c r="A54" s="220">
        <v>46</v>
      </c>
      <c r="B54" s="221">
        <f t="shared" si="3"/>
        <v>0.32200000000000001</v>
      </c>
      <c r="C54" s="28">
        <f t="shared" si="2"/>
        <v>0.48299999999999998</v>
      </c>
      <c r="D54" s="29">
        <f t="shared" si="4"/>
        <v>304.52798053527977</v>
      </c>
    </row>
    <row r="55" spans="1:4">
      <c r="A55" s="220">
        <v>47</v>
      </c>
      <c r="B55" s="221">
        <f t="shared" si="3"/>
        <v>0.32900000000000001</v>
      </c>
      <c r="C55" s="28">
        <f t="shared" si="2"/>
        <v>0.49350000000000005</v>
      </c>
      <c r="D55" s="29">
        <f t="shared" si="4"/>
        <v>301.96501809408932</v>
      </c>
    </row>
    <row r="56" spans="1:4">
      <c r="A56" s="220">
        <v>48</v>
      </c>
      <c r="B56" s="221">
        <f t="shared" si="3"/>
        <v>0.33600000000000002</v>
      </c>
      <c r="C56" s="28">
        <f t="shared" si="2"/>
        <v>0.504</v>
      </c>
      <c r="D56" s="29">
        <f t="shared" si="4"/>
        <v>299.44497607655501</v>
      </c>
    </row>
    <row r="57" spans="1:4">
      <c r="A57" s="220">
        <v>49</v>
      </c>
      <c r="B57" s="221">
        <f t="shared" si="3"/>
        <v>0.34300000000000003</v>
      </c>
      <c r="C57" s="28">
        <f t="shared" si="2"/>
        <v>0.51450000000000007</v>
      </c>
      <c r="D57" s="29">
        <f t="shared" si="4"/>
        <v>296.96678529062871</v>
      </c>
    </row>
    <row r="58" spans="1:4">
      <c r="A58" s="220">
        <v>50</v>
      </c>
      <c r="B58" s="221">
        <f t="shared" si="3"/>
        <v>0.35000000000000003</v>
      </c>
      <c r="C58" s="28">
        <f t="shared" si="2"/>
        <v>0.52500000000000002</v>
      </c>
      <c r="D58" s="29">
        <f t="shared" si="4"/>
        <v>294.52941176470586</v>
      </c>
    </row>
    <row r="59" spans="1:4">
      <c r="A59" s="220">
        <v>51</v>
      </c>
      <c r="B59" s="221">
        <f t="shared" si="3"/>
        <v>0.35699999999999998</v>
      </c>
      <c r="C59" s="28">
        <f t="shared" si="2"/>
        <v>0.53549999999999998</v>
      </c>
      <c r="D59" s="29">
        <f t="shared" si="4"/>
        <v>292.13185530921822</v>
      </c>
    </row>
    <row r="60" spans="1:4">
      <c r="A60" s="220">
        <v>52</v>
      </c>
      <c r="B60" s="221">
        <f t="shared" si="3"/>
        <v>0.36399999999999999</v>
      </c>
      <c r="C60" s="28">
        <f t="shared" si="2"/>
        <v>0.54600000000000004</v>
      </c>
      <c r="D60" s="29">
        <f t="shared" si="4"/>
        <v>289.77314814814815</v>
      </c>
    </row>
    <row r="61" spans="1:4">
      <c r="A61" s="220">
        <v>53</v>
      </c>
      <c r="B61" s="221">
        <f t="shared" si="3"/>
        <v>0.371</v>
      </c>
      <c r="C61" s="28">
        <f t="shared" si="2"/>
        <v>0.55649999999999999</v>
      </c>
      <c r="D61" s="29">
        <f t="shared" si="4"/>
        <v>287.45235361653272</v>
      </c>
    </row>
    <row r="62" spans="1:4">
      <c r="A62" s="220">
        <v>54</v>
      </c>
      <c r="B62" s="221">
        <f t="shared" si="3"/>
        <v>0.378</v>
      </c>
      <c r="C62" s="28">
        <f t="shared" si="2"/>
        <v>0.56699999999999995</v>
      </c>
      <c r="D62" s="29">
        <f t="shared" si="4"/>
        <v>285.16856492027335</v>
      </c>
    </row>
    <row r="63" spans="1:4">
      <c r="A63" s="220">
        <v>55</v>
      </c>
      <c r="B63" s="221">
        <f t="shared" si="3"/>
        <v>0.38500000000000001</v>
      </c>
      <c r="C63" s="28">
        <f t="shared" si="2"/>
        <v>0.57750000000000001</v>
      </c>
      <c r="D63" s="29">
        <f t="shared" si="4"/>
        <v>282.92090395480227</v>
      </c>
    </row>
    <row r="64" spans="1:4">
      <c r="A64" s="220">
        <v>56</v>
      </c>
      <c r="B64" s="221">
        <f t="shared" si="3"/>
        <v>0.39200000000000002</v>
      </c>
      <c r="C64" s="28">
        <f t="shared" si="2"/>
        <v>0.58800000000000008</v>
      </c>
      <c r="D64" s="29">
        <f t="shared" si="4"/>
        <v>280.70852017937221</v>
      </c>
    </row>
    <row r="65" spans="1:4">
      <c r="A65" s="220">
        <v>57</v>
      </c>
      <c r="B65" s="221">
        <f t="shared" si="3"/>
        <v>0.39900000000000002</v>
      </c>
      <c r="C65" s="28">
        <f t="shared" si="2"/>
        <v>0.59850000000000003</v>
      </c>
      <c r="D65" s="29">
        <f t="shared" si="4"/>
        <v>278.53058954393771</v>
      </c>
    </row>
    <row r="66" spans="1:4">
      <c r="A66" s="220">
        <v>58</v>
      </c>
      <c r="B66" s="221">
        <f t="shared" si="3"/>
        <v>0.40600000000000003</v>
      </c>
      <c r="C66" s="28">
        <f t="shared" si="2"/>
        <v>0.60899999999999999</v>
      </c>
      <c r="D66" s="29">
        <f t="shared" si="4"/>
        <v>276.38631346578364</v>
      </c>
    </row>
    <row r="67" spans="1:4">
      <c r="A67" s="220">
        <v>59</v>
      </c>
      <c r="B67" s="221">
        <f t="shared" si="3"/>
        <v>0.41300000000000003</v>
      </c>
      <c r="C67" s="28">
        <f t="shared" si="2"/>
        <v>0.61950000000000005</v>
      </c>
      <c r="D67" s="29">
        <f t="shared" si="4"/>
        <v>274.2749178532311</v>
      </c>
    </row>
    <row r="68" spans="1:4">
      <c r="A68" s="220">
        <v>60</v>
      </c>
      <c r="B68" s="221">
        <f t="shared" si="3"/>
        <v>0.42</v>
      </c>
      <c r="C68" s="28">
        <f t="shared" si="2"/>
        <v>0.63</v>
      </c>
      <c r="D68" s="29">
        <f t="shared" si="4"/>
        <v>272.19565217391306</v>
      </c>
    </row>
    <row r="69" spans="1:4">
      <c r="A69" s="220">
        <v>61</v>
      </c>
      <c r="B69" s="221">
        <f t="shared" si="3"/>
        <v>0.42699999999999999</v>
      </c>
      <c r="C69" s="28">
        <f t="shared" si="2"/>
        <v>0.64049999999999996</v>
      </c>
      <c r="D69" s="29">
        <f t="shared" si="4"/>
        <v>270.14778856526425</v>
      </c>
    </row>
    <row r="70" spans="1:4">
      <c r="A70" s="220">
        <v>62</v>
      </c>
      <c r="B70" s="221">
        <f t="shared" si="3"/>
        <v>0.434</v>
      </c>
      <c r="C70" s="28">
        <f t="shared" si="2"/>
        <v>0.65100000000000002</v>
      </c>
      <c r="D70" s="29">
        <f t="shared" si="4"/>
        <v>268.13062098501069</v>
      </c>
    </row>
    <row r="71" spans="1:4">
      <c r="A71" s="220">
        <v>63</v>
      </c>
      <c r="B71" s="221">
        <f t="shared" si="3"/>
        <v>0.441</v>
      </c>
      <c r="C71" s="28">
        <f t="shared" si="2"/>
        <v>0.66149999999999998</v>
      </c>
      <c r="D71" s="29">
        <f t="shared" si="4"/>
        <v>266.1434643995749</v>
      </c>
    </row>
    <row r="72" spans="1:4">
      <c r="A72" s="220">
        <v>64</v>
      </c>
      <c r="B72" s="221">
        <f t="shared" si="3"/>
        <v>0.44800000000000001</v>
      </c>
      <c r="C72" s="28">
        <f t="shared" si="2"/>
        <v>0.67200000000000004</v>
      </c>
      <c r="D72" s="29">
        <f t="shared" si="4"/>
        <v>264.18565400843886</v>
      </c>
    </row>
    <row r="73" spans="1:4">
      <c r="A73" s="220">
        <v>65</v>
      </c>
      <c r="B73" s="221">
        <f t="shared" ref="B73:B104" si="5">SUM(A73*$C$3)</f>
        <v>0.45500000000000002</v>
      </c>
      <c r="C73" s="28">
        <f t="shared" si="2"/>
        <v>0.6825</v>
      </c>
      <c r="D73" s="29">
        <f t="shared" ref="D73:D108" si="6">SUM(($C$5+B73)/($C$4+B73))</f>
        <v>262.25654450261777</v>
      </c>
    </row>
    <row r="74" spans="1:4">
      <c r="A74" s="220">
        <v>66</v>
      </c>
      <c r="B74" s="221">
        <f t="shared" si="5"/>
        <v>0.46200000000000002</v>
      </c>
      <c r="C74" s="28">
        <f t="shared" ref="C74:C108" si="7">SUM(B74*1.5)</f>
        <v>0.69300000000000006</v>
      </c>
      <c r="D74" s="29">
        <f t="shared" si="6"/>
        <v>260.35550935550935</v>
      </c>
    </row>
    <row r="75" spans="1:4">
      <c r="A75" s="220">
        <v>67</v>
      </c>
      <c r="B75" s="221">
        <f t="shared" si="5"/>
        <v>0.46900000000000003</v>
      </c>
      <c r="C75" s="28">
        <f t="shared" si="7"/>
        <v>0.70350000000000001</v>
      </c>
      <c r="D75" s="29">
        <f t="shared" si="6"/>
        <v>258.48194014447881</v>
      </c>
    </row>
    <row r="76" spans="1:4">
      <c r="A76" s="220">
        <v>68</v>
      </c>
      <c r="B76" s="221">
        <f t="shared" si="5"/>
        <v>0.47600000000000003</v>
      </c>
      <c r="C76" s="28">
        <f t="shared" si="7"/>
        <v>0.71400000000000008</v>
      </c>
      <c r="D76" s="29">
        <f t="shared" si="6"/>
        <v>256.63524590163934</v>
      </c>
    </row>
    <row r="77" spans="1:4">
      <c r="A77" s="220">
        <v>69</v>
      </c>
      <c r="B77" s="221">
        <f t="shared" si="5"/>
        <v>0.48299999999999998</v>
      </c>
      <c r="C77" s="28">
        <f t="shared" si="7"/>
        <v>0.72449999999999992</v>
      </c>
      <c r="D77" s="29">
        <f t="shared" si="6"/>
        <v>254.81485249237031</v>
      </c>
    </row>
    <row r="78" spans="1:4">
      <c r="A78" s="220">
        <v>70</v>
      </c>
      <c r="B78" s="221">
        <f t="shared" si="5"/>
        <v>0.49</v>
      </c>
      <c r="C78" s="28">
        <f t="shared" si="7"/>
        <v>0.73499999999999999</v>
      </c>
      <c r="D78" s="29">
        <f t="shared" si="6"/>
        <v>253.02020202020202</v>
      </c>
    </row>
    <row r="79" spans="1:4">
      <c r="A79" s="220">
        <v>71</v>
      </c>
      <c r="B79" s="221">
        <f t="shared" si="5"/>
        <v>0.497</v>
      </c>
      <c r="C79" s="28">
        <f t="shared" si="7"/>
        <v>0.74550000000000005</v>
      </c>
      <c r="D79" s="29">
        <f t="shared" si="6"/>
        <v>251.25075225677031</v>
      </c>
    </row>
    <row r="80" spans="1:4">
      <c r="A80" s="220">
        <v>72</v>
      </c>
      <c r="B80" s="221">
        <f t="shared" si="5"/>
        <v>0.504</v>
      </c>
      <c r="C80" s="28">
        <f t="shared" si="7"/>
        <v>0.75600000000000001</v>
      </c>
      <c r="D80" s="29">
        <f t="shared" si="6"/>
        <v>249.50597609561751</v>
      </c>
    </row>
    <row r="81" spans="1:4">
      <c r="A81" s="220">
        <v>73</v>
      </c>
      <c r="B81" s="221">
        <f t="shared" si="5"/>
        <v>0.51100000000000001</v>
      </c>
      <c r="C81" s="28">
        <f t="shared" si="7"/>
        <v>0.76649999999999996</v>
      </c>
      <c r="D81" s="29">
        <f t="shared" si="6"/>
        <v>247.78536102868443</v>
      </c>
    </row>
    <row r="82" spans="1:4">
      <c r="A82" s="220">
        <v>74</v>
      </c>
      <c r="B82" s="221">
        <f t="shared" si="5"/>
        <v>0.51800000000000002</v>
      </c>
      <c r="C82" s="28">
        <f t="shared" si="7"/>
        <v>0.77700000000000002</v>
      </c>
      <c r="D82" s="29">
        <f t="shared" si="6"/>
        <v>246.08840864440077</v>
      </c>
    </row>
    <row r="83" spans="1:4">
      <c r="A83" s="220">
        <v>75</v>
      </c>
      <c r="B83" s="221">
        <f t="shared" si="5"/>
        <v>0.52500000000000002</v>
      </c>
      <c r="C83" s="28">
        <f t="shared" si="7"/>
        <v>0.78750000000000009</v>
      </c>
      <c r="D83" s="29">
        <f t="shared" si="6"/>
        <v>244.41463414634148</v>
      </c>
    </row>
    <row r="84" spans="1:4">
      <c r="A84" s="220">
        <v>76</v>
      </c>
      <c r="B84" s="221">
        <f t="shared" si="5"/>
        <v>0.53200000000000003</v>
      </c>
      <c r="C84" s="28">
        <f t="shared" si="7"/>
        <v>0.79800000000000004</v>
      </c>
      <c r="D84" s="29">
        <f t="shared" si="6"/>
        <v>242.76356589147287</v>
      </c>
    </row>
    <row r="85" spans="1:4">
      <c r="A85" s="220">
        <v>77</v>
      </c>
      <c r="B85" s="221">
        <f t="shared" si="5"/>
        <v>0.53900000000000003</v>
      </c>
      <c r="C85" s="28">
        <f t="shared" si="7"/>
        <v>0.8085</v>
      </c>
      <c r="D85" s="29">
        <f t="shared" si="6"/>
        <v>241.13474494706443</v>
      </c>
    </row>
    <row r="86" spans="1:4">
      <c r="A86" s="220">
        <v>78</v>
      </c>
      <c r="B86" s="221">
        <f t="shared" si="5"/>
        <v>0.54600000000000004</v>
      </c>
      <c r="C86" s="28">
        <f t="shared" si="7"/>
        <v>0.81900000000000006</v>
      </c>
      <c r="D86" s="29">
        <f t="shared" si="6"/>
        <v>239.52772466539196</v>
      </c>
    </row>
    <row r="87" spans="1:4">
      <c r="A87" s="220">
        <v>79</v>
      </c>
      <c r="B87" s="221">
        <f t="shared" si="5"/>
        <v>0.55300000000000005</v>
      </c>
      <c r="C87" s="28">
        <f t="shared" si="7"/>
        <v>0.82950000000000013</v>
      </c>
      <c r="D87" s="29">
        <f t="shared" si="6"/>
        <v>237.94207027540361</v>
      </c>
    </row>
    <row r="88" spans="1:4">
      <c r="A88" s="220">
        <v>80</v>
      </c>
      <c r="B88" s="221">
        <f t="shared" si="5"/>
        <v>0.56000000000000005</v>
      </c>
      <c r="C88" s="28">
        <f t="shared" si="7"/>
        <v>0.84000000000000008</v>
      </c>
      <c r="D88" s="29">
        <f t="shared" si="6"/>
        <v>236.37735849056602</v>
      </c>
    </row>
    <row r="89" spans="1:4">
      <c r="A89" s="220">
        <v>81</v>
      </c>
      <c r="B89" s="221">
        <f t="shared" si="5"/>
        <v>0.56700000000000006</v>
      </c>
      <c r="C89" s="28">
        <f t="shared" si="7"/>
        <v>0.85050000000000003</v>
      </c>
      <c r="D89" s="29">
        <f t="shared" si="6"/>
        <v>234.83317713214618</v>
      </c>
    </row>
    <row r="90" spans="1:4">
      <c r="A90" s="220">
        <v>82</v>
      </c>
      <c r="B90" s="221">
        <f t="shared" si="5"/>
        <v>0.57400000000000007</v>
      </c>
      <c r="C90" s="28">
        <f t="shared" si="7"/>
        <v>0.8610000000000001</v>
      </c>
      <c r="D90" s="29">
        <f t="shared" si="6"/>
        <v>233.30912476722531</v>
      </c>
    </row>
    <row r="91" spans="1:4">
      <c r="A91" s="220">
        <v>83</v>
      </c>
      <c r="B91" s="221">
        <f t="shared" si="5"/>
        <v>0.58099999999999996</v>
      </c>
      <c r="C91" s="28">
        <f t="shared" si="7"/>
        <v>0.87149999999999994</v>
      </c>
      <c r="D91" s="29">
        <f t="shared" si="6"/>
        <v>231.80481036077705</v>
      </c>
    </row>
    <row r="92" spans="1:4">
      <c r="A92" s="220">
        <v>84</v>
      </c>
      <c r="B92" s="221">
        <f t="shared" si="5"/>
        <v>0.58799999999999997</v>
      </c>
      <c r="C92" s="28">
        <f t="shared" si="7"/>
        <v>0.8819999999999999</v>
      </c>
      <c r="D92" s="29">
        <f t="shared" si="6"/>
        <v>230.31985294117644</v>
      </c>
    </row>
    <row r="93" spans="1:4">
      <c r="A93" s="220">
        <v>85</v>
      </c>
      <c r="B93" s="221">
        <f t="shared" si="5"/>
        <v>0.59499999999999997</v>
      </c>
      <c r="C93" s="28">
        <f t="shared" si="7"/>
        <v>0.89249999999999996</v>
      </c>
      <c r="D93" s="29">
        <f t="shared" si="6"/>
        <v>228.85388127853881</v>
      </c>
    </row>
    <row r="94" spans="1:4">
      <c r="A94" s="220">
        <v>86</v>
      </c>
      <c r="B94" s="221">
        <f t="shared" si="5"/>
        <v>0.60199999999999998</v>
      </c>
      <c r="C94" s="28">
        <f t="shared" si="7"/>
        <v>0.90300000000000002</v>
      </c>
      <c r="D94" s="29">
        <f t="shared" si="6"/>
        <v>227.40653357531764</v>
      </c>
    </row>
    <row r="95" spans="1:4">
      <c r="A95" s="220">
        <v>87</v>
      </c>
      <c r="B95" s="221">
        <f t="shared" si="5"/>
        <v>0.60899999999999999</v>
      </c>
      <c r="C95" s="28">
        <f t="shared" si="7"/>
        <v>0.91349999999999998</v>
      </c>
      <c r="D95" s="29">
        <f t="shared" si="6"/>
        <v>225.97745716862039</v>
      </c>
    </row>
    <row r="96" spans="1:4">
      <c r="A96" s="220">
        <v>88</v>
      </c>
      <c r="B96" s="221">
        <f t="shared" si="5"/>
        <v>0.61599999999999999</v>
      </c>
      <c r="C96" s="28">
        <f t="shared" si="7"/>
        <v>0.92399999999999993</v>
      </c>
      <c r="D96" s="29">
        <f t="shared" si="6"/>
        <v>224.56630824372758</v>
      </c>
    </row>
    <row r="97" spans="1:4">
      <c r="A97" s="220">
        <v>89</v>
      </c>
      <c r="B97" s="221">
        <f t="shared" si="5"/>
        <v>0.623</v>
      </c>
      <c r="C97" s="28">
        <f t="shared" si="7"/>
        <v>0.9345</v>
      </c>
      <c r="D97" s="29">
        <f t="shared" si="6"/>
        <v>223.1727515583259</v>
      </c>
    </row>
    <row r="98" spans="1:4">
      <c r="A98" s="220">
        <v>90</v>
      </c>
      <c r="B98" s="221">
        <f t="shared" si="5"/>
        <v>0.63</v>
      </c>
      <c r="C98" s="28">
        <f t="shared" si="7"/>
        <v>0.94500000000000006</v>
      </c>
      <c r="D98" s="29">
        <f t="shared" si="6"/>
        <v>221.79646017699116</v>
      </c>
    </row>
    <row r="99" spans="1:4">
      <c r="A99" s="220">
        <v>91</v>
      </c>
      <c r="B99" s="221">
        <f t="shared" si="5"/>
        <v>0.63700000000000001</v>
      </c>
      <c r="C99" s="28">
        <f t="shared" si="7"/>
        <v>0.95550000000000002</v>
      </c>
      <c r="D99" s="29">
        <f t="shared" si="6"/>
        <v>220.43711521547934</v>
      </c>
    </row>
    <row r="100" spans="1:4">
      <c r="A100" s="220">
        <v>92</v>
      </c>
      <c r="B100" s="221">
        <f t="shared" si="5"/>
        <v>0.64400000000000002</v>
      </c>
      <c r="C100" s="28">
        <f t="shared" si="7"/>
        <v>0.96599999999999997</v>
      </c>
      <c r="D100" s="29">
        <f t="shared" si="6"/>
        <v>219.09440559440557</v>
      </c>
    </row>
    <row r="101" spans="1:4">
      <c r="A101" s="220">
        <v>93</v>
      </c>
      <c r="B101" s="221">
        <f t="shared" si="5"/>
        <v>0.65100000000000002</v>
      </c>
      <c r="C101" s="28">
        <f t="shared" si="7"/>
        <v>0.97650000000000003</v>
      </c>
      <c r="D101" s="29">
        <f t="shared" si="6"/>
        <v>217.76802780191139</v>
      </c>
    </row>
    <row r="102" spans="1:4">
      <c r="A102" s="220">
        <v>94</v>
      </c>
      <c r="B102" s="221">
        <f t="shared" si="5"/>
        <v>0.65800000000000003</v>
      </c>
      <c r="C102" s="28">
        <f t="shared" si="7"/>
        <v>0.9870000000000001</v>
      </c>
      <c r="D102" s="29">
        <f t="shared" si="6"/>
        <v>216.45768566493956</v>
      </c>
    </row>
    <row r="103" spans="1:4">
      <c r="A103" s="220">
        <v>95</v>
      </c>
      <c r="B103" s="221">
        <f t="shared" si="5"/>
        <v>0.66500000000000004</v>
      </c>
      <c r="C103" s="28">
        <f t="shared" si="7"/>
        <v>0.99750000000000005</v>
      </c>
      <c r="D103" s="29">
        <f t="shared" si="6"/>
        <v>215.16309012875536</v>
      </c>
    </row>
    <row r="104" spans="1:4">
      <c r="A104" s="220">
        <v>96</v>
      </c>
      <c r="B104" s="221">
        <f t="shared" si="5"/>
        <v>0.67200000000000004</v>
      </c>
      <c r="C104" s="28">
        <f t="shared" si="7"/>
        <v>1.008</v>
      </c>
      <c r="D104" s="29">
        <f t="shared" si="6"/>
        <v>213.88395904436857</v>
      </c>
    </row>
    <row r="105" spans="1:4">
      <c r="A105" s="220">
        <v>97</v>
      </c>
      <c r="B105" s="221">
        <f t="shared" ref="B105:B108" si="8">SUM(A105*$C$3)</f>
        <v>0.67900000000000005</v>
      </c>
      <c r="C105" s="28">
        <f t="shared" si="7"/>
        <v>1.0185</v>
      </c>
      <c r="D105" s="29">
        <f t="shared" si="6"/>
        <v>212.6200169635284</v>
      </c>
    </row>
    <row r="106" spans="1:4">
      <c r="A106" s="220">
        <v>98</v>
      </c>
      <c r="B106" s="221">
        <f t="shared" si="8"/>
        <v>0.68600000000000005</v>
      </c>
      <c r="C106" s="28">
        <f t="shared" si="7"/>
        <v>1.0290000000000001</v>
      </c>
      <c r="D106" s="29">
        <f t="shared" si="6"/>
        <v>211.37099494097811</v>
      </c>
    </row>
    <row r="107" spans="1:4">
      <c r="A107" s="220">
        <v>99</v>
      </c>
      <c r="B107" s="221">
        <f t="shared" si="8"/>
        <v>0.69300000000000006</v>
      </c>
      <c r="C107" s="28">
        <f t="shared" si="7"/>
        <v>1.0395000000000001</v>
      </c>
      <c r="D107" s="29">
        <f t="shared" si="6"/>
        <v>210.13663034367141</v>
      </c>
    </row>
    <row r="108" spans="1:4" ht="13.5" thickBot="1">
      <c r="A108" s="222">
        <v>100</v>
      </c>
      <c r="B108" s="223">
        <f t="shared" si="8"/>
        <v>0.70000000000000007</v>
      </c>
      <c r="C108" s="34">
        <f t="shared" si="7"/>
        <v>1.05</v>
      </c>
      <c r="D108" s="35">
        <f t="shared" si="6"/>
        <v>208.91666666666663</v>
      </c>
    </row>
  </sheetData>
  <conditionalFormatting sqref="D9:D108">
    <cfRule type="expression" dxfId="2" priority="1">
      <formula>D9&lt;250</formula>
    </cfRule>
  </conditionalFormatting>
  <conditionalFormatting sqref="C9:C108">
    <cfRule type="expression" dxfId="1" priority="9">
      <formula>$C$9&gt;C$4</formula>
    </cfRule>
  </conditionalFormatting>
  <conditionalFormatting sqref="C9:C108">
    <cfRule type="expression" dxfId="0" priority="10">
      <formula>C9&gt;$C$4</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
  <sheetViews>
    <sheetView workbookViewId="0">
      <selection activeCell="E14" sqref="E14"/>
    </sheetView>
  </sheetViews>
  <sheetFormatPr defaultRowHeight="12.75"/>
  <sheetData>
    <row r="1" spans="1:7">
      <c r="A1" s="199" t="s">
        <v>99</v>
      </c>
      <c r="B1" s="200"/>
    </row>
    <row r="2" spans="1:7">
      <c r="A2" s="333" t="s">
        <v>92</v>
      </c>
      <c r="B2" s="334"/>
      <c r="C2" s="334"/>
      <c r="D2" s="334"/>
      <c r="E2" s="334"/>
      <c r="F2" s="334"/>
      <c r="G2" s="334"/>
    </row>
  </sheetData>
  <hyperlinks>
    <hyperlink ref="A2" r:id="rId1" location="_DOWNLOAD_THE_TG1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58"/>
  <sheetViews>
    <sheetView topLeftCell="A36" workbookViewId="0">
      <selection activeCell="R46" sqref="R46:X46"/>
    </sheetView>
  </sheetViews>
  <sheetFormatPr defaultRowHeight="12.75"/>
  <cols>
    <col min="1" max="9" width="4.140625" style="38" customWidth="1"/>
    <col min="10" max="10" width="4.85546875" style="38" customWidth="1"/>
    <col min="11" max="16" width="4.140625" style="38" customWidth="1"/>
    <col min="17" max="17" width="16.28515625" style="38" customWidth="1"/>
    <col min="18" max="24" width="4.140625" style="38" customWidth="1"/>
    <col min="25" max="35" width="9.140625" style="38"/>
    <col min="36" max="36" width="9.85546875" style="38" customWidth="1"/>
    <col min="37" max="256" width="9.140625" style="38"/>
    <col min="257" max="280" width="4.140625" style="38" customWidth="1"/>
    <col min="281" max="512" width="9.140625" style="38"/>
    <col min="513" max="536" width="4.140625" style="38" customWidth="1"/>
    <col min="537" max="768" width="9.140625" style="38"/>
    <col min="769" max="792" width="4.140625" style="38" customWidth="1"/>
    <col min="793" max="1024" width="9.140625" style="38"/>
    <col min="1025" max="1048" width="4.140625" style="38" customWidth="1"/>
    <col min="1049" max="1280" width="9.140625" style="38"/>
    <col min="1281" max="1304" width="4.140625" style="38" customWidth="1"/>
    <col min="1305" max="1536" width="9.140625" style="38"/>
    <col min="1537" max="1560" width="4.140625" style="38" customWidth="1"/>
    <col min="1561" max="1792" width="9.140625" style="38"/>
    <col min="1793" max="1816" width="4.140625" style="38" customWidth="1"/>
    <col min="1817" max="2048" width="9.140625" style="38"/>
    <col min="2049" max="2072" width="4.140625" style="38" customWidth="1"/>
    <col min="2073" max="2304" width="9.140625" style="38"/>
    <col min="2305" max="2328" width="4.140625" style="38" customWidth="1"/>
    <col min="2329" max="2560" width="9.140625" style="38"/>
    <col min="2561" max="2584" width="4.140625" style="38" customWidth="1"/>
    <col min="2585" max="2816" width="9.140625" style="38"/>
    <col min="2817" max="2840" width="4.140625" style="38" customWidth="1"/>
    <col min="2841" max="3072" width="9.140625" style="38"/>
    <col min="3073" max="3096" width="4.140625" style="38" customWidth="1"/>
    <col min="3097" max="3328" width="9.140625" style="38"/>
    <col min="3329" max="3352" width="4.140625" style="38" customWidth="1"/>
    <col min="3353" max="3584" width="9.140625" style="38"/>
    <col min="3585" max="3608" width="4.140625" style="38" customWidth="1"/>
    <col min="3609" max="3840" width="9.140625" style="38"/>
    <col min="3841" max="3864" width="4.140625" style="38" customWidth="1"/>
    <col min="3865" max="4096" width="9.140625" style="38"/>
    <col min="4097" max="4120" width="4.140625" style="38" customWidth="1"/>
    <col min="4121" max="4352" width="9.140625" style="38"/>
    <col min="4353" max="4376" width="4.140625" style="38" customWidth="1"/>
    <col min="4377" max="4608" width="9.140625" style="38"/>
    <col min="4609" max="4632" width="4.140625" style="38" customWidth="1"/>
    <col min="4633" max="4864" width="9.140625" style="38"/>
    <col min="4865" max="4888" width="4.140625" style="38" customWidth="1"/>
    <col min="4889" max="5120" width="9.140625" style="38"/>
    <col min="5121" max="5144" width="4.140625" style="38" customWidth="1"/>
    <col min="5145" max="5376" width="9.140625" style="38"/>
    <col min="5377" max="5400" width="4.140625" style="38" customWidth="1"/>
    <col min="5401" max="5632" width="9.140625" style="38"/>
    <col min="5633" max="5656" width="4.140625" style="38" customWidth="1"/>
    <col min="5657" max="5888" width="9.140625" style="38"/>
    <col min="5889" max="5912" width="4.140625" style="38" customWidth="1"/>
    <col min="5913" max="6144" width="9.140625" style="38"/>
    <col min="6145" max="6168" width="4.140625" style="38" customWidth="1"/>
    <col min="6169" max="6400" width="9.140625" style="38"/>
    <col min="6401" max="6424" width="4.140625" style="38" customWidth="1"/>
    <col min="6425" max="6656" width="9.140625" style="38"/>
    <col min="6657" max="6680" width="4.140625" style="38" customWidth="1"/>
    <col min="6681" max="6912" width="9.140625" style="38"/>
    <col min="6913" max="6936" width="4.140625" style="38" customWidth="1"/>
    <col min="6937" max="7168" width="9.140625" style="38"/>
    <col min="7169" max="7192" width="4.140625" style="38" customWidth="1"/>
    <col min="7193" max="7424" width="9.140625" style="38"/>
    <col min="7425" max="7448" width="4.140625" style="38" customWidth="1"/>
    <col min="7449" max="7680" width="9.140625" style="38"/>
    <col min="7681" max="7704" width="4.140625" style="38" customWidth="1"/>
    <col min="7705" max="7936" width="9.140625" style="38"/>
    <col min="7937" max="7960" width="4.140625" style="38" customWidth="1"/>
    <col min="7961" max="8192" width="9.140625" style="38"/>
    <col min="8193" max="8216" width="4.140625" style="38" customWidth="1"/>
    <col min="8217" max="8448" width="9.140625" style="38"/>
    <col min="8449" max="8472" width="4.140625" style="38" customWidth="1"/>
    <col min="8473" max="8704" width="9.140625" style="38"/>
    <col min="8705" max="8728" width="4.140625" style="38" customWidth="1"/>
    <col min="8729" max="8960" width="9.140625" style="38"/>
    <col min="8961" max="8984" width="4.140625" style="38" customWidth="1"/>
    <col min="8985" max="9216" width="9.140625" style="38"/>
    <col min="9217" max="9240" width="4.140625" style="38" customWidth="1"/>
    <col min="9241" max="9472" width="9.140625" style="38"/>
    <col min="9473" max="9496" width="4.140625" style="38" customWidth="1"/>
    <col min="9497" max="9728" width="9.140625" style="38"/>
    <col min="9729" max="9752" width="4.140625" style="38" customWidth="1"/>
    <col min="9753" max="9984" width="9.140625" style="38"/>
    <col min="9985" max="10008" width="4.140625" style="38" customWidth="1"/>
    <col min="10009" max="10240" width="9.140625" style="38"/>
    <col min="10241" max="10264" width="4.140625" style="38" customWidth="1"/>
    <col min="10265" max="10496" width="9.140625" style="38"/>
    <col min="10497" max="10520" width="4.140625" style="38" customWidth="1"/>
    <col min="10521" max="10752" width="9.140625" style="38"/>
    <col min="10753" max="10776" width="4.140625" style="38" customWidth="1"/>
    <col min="10777" max="11008" width="9.140625" style="38"/>
    <col min="11009" max="11032" width="4.140625" style="38" customWidth="1"/>
    <col min="11033" max="11264" width="9.140625" style="38"/>
    <col min="11265" max="11288" width="4.140625" style="38" customWidth="1"/>
    <col min="11289" max="11520" width="9.140625" style="38"/>
    <col min="11521" max="11544" width="4.140625" style="38" customWidth="1"/>
    <col min="11545" max="11776" width="9.140625" style="38"/>
    <col min="11777" max="11800" width="4.140625" style="38" customWidth="1"/>
    <col min="11801" max="12032" width="9.140625" style="38"/>
    <col min="12033" max="12056" width="4.140625" style="38" customWidth="1"/>
    <col min="12057" max="12288" width="9.140625" style="38"/>
    <col min="12289" max="12312" width="4.140625" style="38" customWidth="1"/>
    <col min="12313" max="12544" width="9.140625" style="38"/>
    <col min="12545" max="12568" width="4.140625" style="38" customWidth="1"/>
    <col min="12569" max="12800" width="9.140625" style="38"/>
    <col min="12801" max="12824" width="4.140625" style="38" customWidth="1"/>
    <col min="12825" max="13056" width="9.140625" style="38"/>
    <col min="13057" max="13080" width="4.140625" style="38" customWidth="1"/>
    <col min="13081" max="13312" width="9.140625" style="38"/>
    <col min="13313" max="13336" width="4.140625" style="38" customWidth="1"/>
    <col min="13337" max="13568" width="9.140625" style="38"/>
    <col min="13569" max="13592" width="4.140625" style="38" customWidth="1"/>
    <col min="13593" max="13824" width="9.140625" style="38"/>
    <col min="13825" max="13848" width="4.140625" style="38" customWidth="1"/>
    <col min="13849" max="14080" width="9.140625" style="38"/>
    <col min="14081" max="14104" width="4.140625" style="38" customWidth="1"/>
    <col min="14105" max="14336" width="9.140625" style="38"/>
    <col min="14337" max="14360" width="4.140625" style="38" customWidth="1"/>
    <col min="14361" max="14592" width="9.140625" style="38"/>
    <col min="14593" max="14616" width="4.140625" style="38" customWidth="1"/>
    <col min="14617" max="14848" width="9.140625" style="38"/>
    <col min="14849" max="14872" width="4.140625" style="38" customWidth="1"/>
    <col min="14873" max="15104" width="9.140625" style="38"/>
    <col min="15105" max="15128" width="4.140625" style="38" customWidth="1"/>
    <col min="15129" max="15360" width="9.140625" style="38"/>
    <col min="15361" max="15384" width="4.140625" style="38" customWidth="1"/>
    <col min="15385" max="15616" width="9.140625" style="38"/>
    <col min="15617" max="15640" width="4.140625" style="38" customWidth="1"/>
    <col min="15641" max="15872" width="9.140625" style="38"/>
    <col min="15873" max="15896" width="4.140625" style="38" customWidth="1"/>
    <col min="15897" max="16128" width="9.140625" style="38"/>
    <col min="16129" max="16152" width="4.140625" style="38" customWidth="1"/>
    <col min="16153" max="16384" width="9.140625" style="38"/>
  </cols>
  <sheetData>
    <row r="1" spans="1:36" s="40" customFormat="1" ht="15.95" customHeight="1" thickBot="1">
      <c r="A1" s="375" t="s">
        <v>126</v>
      </c>
      <c r="B1" s="376"/>
      <c r="C1" s="376"/>
      <c r="D1" s="381" t="s">
        <v>127</v>
      </c>
      <c r="E1" s="381"/>
      <c r="F1" s="381"/>
      <c r="G1" s="381"/>
      <c r="H1" s="381"/>
      <c r="I1" s="381"/>
      <c r="J1" s="381"/>
      <c r="K1" s="381"/>
      <c r="L1" s="382"/>
      <c r="M1" s="385" t="str">
        <f>IF(I14="","",I14)</f>
        <v/>
      </c>
      <c r="N1" s="386"/>
      <c r="O1" s="386"/>
      <c r="P1" s="386"/>
      <c r="Q1" s="386"/>
      <c r="R1" s="386"/>
      <c r="S1" s="386"/>
      <c r="T1" s="386"/>
      <c r="U1" s="386"/>
      <c r="V1" s="386"/>
      <c r="W1" s="386"/>
      <c r="X1" s="387"/>
    </row>
    <row r="2" spans="1:36" ht="15.95" customHeight="1">
      <c r="A2" s="377"/>
      <c r="B2" s="378"/>
      <c r="C2" s="378"/>
      <c r="D2" s="383"/>
      <c r="E2" s="383"/>
      <c r="F2" s="383"/>
      <c r="G2" s="383"/>
      <c r="H2" s="383"/>
      <c r="I2" s="383"/>
      <c r="J2" s="383"/>
      <c r="K2" s="383"/>
      <c r="L2" s="384"/>
      <c r="M2" s="388"/>
      <c r="N2" s="389"/>
      <c r="O2" s="389"/>
      <c r="P2" s="389"/>
      <c r="Q2" s="389"/>
      <c r="R2" s="389"/>
      <c r="S2" s="389"/>
      <c r="T2" s="389"/>
      <c r="U2" s="389"/>
      <c r="V2" s="389"/>
      <c r="W2" s="389"/>
      <c r="X2" s="390"/>
      <c r="AI2" s="369" t="s">
        <v>204</v>
      </c>
      <c r="AJ2" s="370"/>
    </row>
    <row r="3" spans="1:36" ht="15.95" customHeight="1" thickBot="1">
      <c r="A3" s="379"/>
      <c r="B3" s="380"/>
      <c r="C3" s="380"/>
      <c r="D3" s="391" t="s">
        <v>128</v>
      </c>
      <c r="E3" s="391"/>
      <c r="F3" s="391"/>
      <c r="G3" s="391"/>
      <c r="H3" s="391"/>
      <c r="I3" s="391"/>
      <c r="J3" s="391"/>
      <c r="K3" s="391"/>
      <c r="L3" s="392"/>
      <c r="M3" s="393" t="str">
        <f>IF(I14="","","for diagnostiske monitorer")</f>
        <v/>
      </c>
      <c r="N3" s="394"/>
      <c r="O3" s="394"/>
      <c r="P3" s="394"/>
      <c r="Q3" s="394"/>
      <c r="R3" s="394"/>
      <c r="S3" s="394"/>
      <c r="T3" s="394"/>
      <c r="U3" s="394"/>
      <c r="V3" s="394"/>
      <c r="W3" s="394"/>
      <c r="X3" s="395"/>
      <c r="AI3" s="371" t="s">
        <v>75</v>
      </c>
      <c r="AJ3" s="372"/>
    </row>
    <row r="4" spans="1:36" ht="15.95" customHeight="1" thickBot="1">
      <c r="A4" s="407" t="s">
        <v>50</v>
      </c>
      <c r="B4" s="408"/>
      <c r="C4" s="408"/>
      <c r="D4" s="408"/>
      <c r="E4" s="408"/>
      <c r="F4" s="408"/>
      <c r="G4" s="408"/>
      <c r="H4" s="408"/>
      <c r="I4" s="408"/>
      <c r="J4" s="408"/>
      <c r="K4" s="408"/>
      <c r="L4" s="409"/>
      <c r="M4" s="413" t="s">
        <v>69</v>
      </c>
      <c r="N4" s="414"/>
      <c r="O4" s="415"/>
      <c r="P4" s="416" t="str">
        <f>IF(I17="","",I17)</f>
        <v/>
      </c>
      <c r="Q4" s="416"/>
      <c r="R4" s="416"/>
      <c r="S4" s="416"/>
      <c r="T4" s="417"/>
      <c r="U4" s="418" t="s">
        <v>70</v>
      </c>
      <c r="V4" s="419"/>
      <c r="W4" s="420" t="str">
        <f>IF(I18="","",I18)</f>
        <v/>
      </c>
      <c r="X4" s="421"/>
      <c r="AI4" s="373" t="s">
        <v>205</v>
      </c>
      <c r="AJ4" s="374"/>
    </row>
    <row r="5" spans="1:36" ht="15.95" customHeight="1" thickBot="1">
      <c r="A5" s="396" t="str">
        <f>IF(I16="","",I16)</f>
        <v/>
      </c>
      <c r="B5" s="397"/>
      <c r="C5" s="397"/>
      <c r="D5" s="397"/>
      <c r="E5" s="397"/>
      <c r="F5" s="397"/>
      <c r="G5" s="397"/>
      <c r="H5" s="397"/>
      <c r="I5" s="397"/>
      <c r="J5" s="397"/>
      <c r="K5" s="397"/>
      <c r="L5" s="398"/>
      <c r="M5" s="410" t="s">
        <v>159</v>
      </c>
      <c r="N5" s="402"/>
      <c r="O5" s="403"/>
      <c r="P5" s="411" t="str">
        <f>IF(R27="","",R27)</f>
        <v/>
      </c>
      <c r="Q5" s="411"/>
      <c r="R5" s="411"/>
      <c r="S5" s="411"/>
      <c r="T5" s="411"/>
      <c r="U5" s="411"/>
      <c r="V5" s="411"/>
      <c r="W5" s="411"/>
      <c r="X5" s="412"/>
    </row>
    <row r="6" spans="1:36" ht="15.95" customHeight="1" thickBot="1">
      <c r="A6" s="399"/>
      <c r="B6" s="400"/>
      <c r="C6" s="400"/>
      <c r="D6" s="400"/>
      <c r="E6" s="400"/>
      <c r="F6" s="400"/>
      <c r="G6" s="400"/>
      <c r="H6" s="400"/>
      <c r="I6" s="400"/>
      <c r="J6" s="400"/>
      <c r="K6" s="400"/>
      <c r="L6" s="401"/>
      <c r="M6" s="402" t="s">
        <v>129</v>
      </c>
      <c r="N6" s="402"/>
      <c r="O6" s="403"/>
      <c r="P6" s="404">
        <f>IF(Oplysningsside!I15="dd-mm-åå","",I15)</f>
        <v>0</v>
      </c>
      <c r="Q6" s="405"/>
      <c r="R6" s="405"/>
      <c r="S6" s="405"/>
      <c r="T6" s="405"/>
      <c r="U6" s="405"/>
      <c r="V6" s="405"/>
      <c r="W6" s="405"/>
      <c r="X6" s="406"/>
    </row>
    <row r="7" spans="1:36" ht="15.95" customHeight="1"/>
    <row r="8" spans="1:36" ht="15.95" customHeight="1" thickBot="1">
      <c r="A8" s="37"/>
      <c r="B8" s="37"/>
      <c r="C8" s="37"/>
      <c r="D8" s="37"/>
      <c r="E8" s="37"/>
      <c r="F8" s="37"/>
      <c r="G8" s="37"/>
      <c r="H8" s="37"/>
      <c r="I8" s="37"/>
      <c r="J8" s="37"/>
      <c r="K8" s="37"/>
      <c r="L8" s="37"/>
      <c r="M8" s="37"/>
      <c r="N8" s="37"/>
      <c r="O8" s="37"/>
      <c r="P8" s="37"/>
      <c r="Q8" s="37"/>
      <c r="R8" s="37"/>
      <c r="S8" s="37"/>
      <c r="T8" s="37"/>
      <c r="U8" s="37"/>
      <c r="V8" s="37"/>
      <c r="W8" s="37"/>
      <c r="X8" s="37"/>
    </row>
    <row r="9" spans="1:36" ht="15.95" customHeight="1" thickBot="1">
      <c r="A9" s="429" t="s">
        <v>130</v>
      </c>
      <c r="B9" s="430"/>
      <c r="C9" s="431"/>
      <c r="D9" s="432" t="s">
        <v>139</v>
      </c>
      <c r="E9" s="433"/>
      <c r="F9" s="429" t="s">
        <v>131</v>
      </c>
      <c r="G9" s="430"/>
      <c r="H9" s="430"/>
      <c r="I9" s="431"/>
      <c r="J9" s="434">
        <v>43194</v>
      </c>
      <c r="K9" s="435"/>
      <c r="L9" s="436"/>
      <c r="M9" s="41"/>
      <c r="N9" s="39"/>
      <c r="O9" s="39"/>
      <c r="P9" s="39"/>
      <c r="Q9" s="39"/>
      <c r="R9" s="39"/>
      <c r="S9" s="39"/>
      <c r="T9" s="39"/>
      <c r="U9" s="39"/>
      <c r="V9" s="39"/>
      <c r="W9" s="39"/>
      <c r="X9" s="39"/>
    </row>
    <row r="10" spans="1:36" s="37" customFormat="1" ht="15.95" customHeight="1" thickBot="1">
      <c r="A10" s="42"/>
      <c r="B10" s="42"/>
      <c r="C10" s="42"/>
      <c r="D10" s="42"/>
      <c r="E10" s="42"/>
      <c r="F10" s="42"/>
      <c r="G10" s="42"/>
      <c r="H10" s="42"/>
      <c r="I10" s="42"/>
      <c r="J10" s="42"/>
      <c r="K10" s="42"/>
      <c r="L10" s="42"/>
      <c r="M10" s="45"/>
      <c r="N10" s="45"/>
      <c r="O10" s="45"/>
      <c r="P10" s="45"/>
      <c r="Q10" s="45"/>
      <c r="R10" s="45"/>
      <c r="S10" s="45"/>
      <c r="T10" s="45"/>
      <c r="U10" s="45"/>
      <c r="V10" s="45"/>
      <c r="W10" s="45"/>
      <c r="X10" s="45"/>
      <c r="Y10" s="43"/>
    </row>
    <row r="11" spans="1:36" s="37" customFormat="1" ht="15.75" customHeight="1">
      <c r="A11" s="437" t="s">
        <v>132</v>
      </c>
      <c r="B11" s="438"/>
      <c r="C11" s="438"/>
      <c r="D11" s="438"/>
      <c r="E11" s="438"/>
      <c r="F11" s="438"/>
      <c r="G11" s="438"/>
      <c r="H11" s="438"/>
      <c r="I11" s="438"/>
      <c r="J11" s="438"/>
      <c r="K11" s="438"/>
      <c r="L11" s="438"/>
      <c r="M11" s="438"/>
      <c r="N11" s="438"/>
      <c r="O11" s="438"/>
      <c r="P11" s="438"/>
      <c r="Q11" s="438"/>
      <c r="R11" s="438"/>
      <c r="S11" s="438"/>
      <c r="T11" s="438"/>
      <c r="U11" s="438"/>
      <c r="V11" s="438"/>
      <c r="W11" s="438"/>
      <c r="X11" s="439"/>
      <c r="Y11" s="43"/>
    </row>
    <row r="12" spans="1:36" s="37" customFormat="1" ht="15.95" customHeight="1" thickBot="1">
      <c r="A12" s="440"/>
      <c r="B12" s="441"/>
      <c r="C12" s="441"/>
      <c r="D12" s="441"/>
      <c r="E12" s="441"/>
      <c r="F12" s="441"/>
      <c r="G12" s="441"/>
      <c r="H12" s="441"/>
      <c r="I12" s="441"/>
      <c r="J12" s="441"/>
      <c r="K12" s="441"/>
      <c r="L12" s="441"/>
      <c r="M12" s="441"/>
      <c r="N12" s="441"/>
      <c r="O12" s="441"/>
      <c r="P12" s="441"/>
      <c r="Q12" s="441"/>
      <c r="R12" s="441"/>
      <c r="S12" s="441"/>
      <c r="T12" s="441"/>
      <c r="U12" s="441"/>
      <c r="V12" s="441"/>
      <c r="W12" s="441"/>
      <c r="X12" s="442"/>
      <c r="Y12" s="43"/>
    </row>
    <row r="13" spans="1:36" s="37" customFormat="1" ht="15.75" customHeight="1" thickBot="1">
      <c r="A13" s="44"/>
      <c r="B13" s="44"/>
      <c r="C13" s="44"/>
      <c r="D13" s="44"/>
      <c r="E13" s="44"/>
      <c r="F13" s="44"/>
      <c r="G13" s="44"/>
      <c r="H13" s="44"/>
      <c r="I13" s="44"/>
      <c r="J13" s="44"/>
      <c r="K13" s="44"/>
      <c r="L13" s="44"/>
      <c r="M13" s="44"/>
      <c r="N13" s="44"/>
      <c r="O13" s="44"/>
      <c r="P13" s="44"/>
      <c r="Q13" s="44"/>
      <c r="R13" s="44"/>
      <c r="S13" s="44"/>
      <c r="T13" s="44"/>
      <c r="U13" s="44"/>
      <c r="V13" s="44"/>
      <c r="W13" s="44"/>
      <c r="X13" s="44"/>
      <c r="Y13" s="43"/>
    </row>
    <row r="14" spans="1:36" ht="15.95" customHeight="1">
      <c r="A14" s="66" t="s">
        <v>133</v>
      </c>
      <c r="B14" s="58"/>
      <c r="C14" s="58"/>
      <c r="D14" s="58"/>
      <c r="E14" s="58"/>
      <c r="F14" s="58"/>
      <c r="G14" s="58"/>
      <c r="H14" s="59"/>
      <c r="I14" s="424"/>
      <c r="J14" s="424"/>
      <c r="K14" s="424"/>
      <c r="L14" s="424"/>
      <c r="M14" s="425"/>
      <c r="O14" s="245" t="s">
        <v>198</v>
      </c>
      <c r="P14" s="57"/>
      <c r="Q14" s="57"/>
      <c r="R14" s="422"/>
      <c r="S14" s="422"/>
      <c r="T14" s="422"/>
      <c r="U14" s="422"/>
      <c r="V14" s="423"/>
      <c r="Z14" s="247"/>
      <c r="AA14" s="40"/>
      <c r="AB14" s="40"/>
      <c r="AC14" s="40"/>
      <c r="AD14" s="40"/>
      <c r="AE14" s="40"/>
      <c r="AF14" s="40"/>
      <c r="AG14" s="40"/>
      <c r="AH14" s="40"/>
    </row>
    <row r="15" spans="1:36" ht="15.95" customHeight="1">
      <c r="A15" s="63" t="s">
        <v>67</v>
      </c>
      <c r="B15" s="53"/>
      <c r="C15" s="53"/>
      <c r="D15" s="53"/>
      <c r="E15" s="53"/>
      <c r="F15" s="53"/>
      <c r="G15" s="53"/>
      <c r="H15" s="54"/>
      <c r="I15" s="426"/>
      <c r="J15" s="427"/>
      <c r="K15" s="427"/>
      <c r="L15" s="427"/>
      <c r="M15" s="428"/>
      <c r="O15" s="74" t="s">
        <v>141</v>
      </c>
      <c r="P15" s="64"/>
      <c r="Q15" s="64"/>
      <c r="R15" s="443"/>
      <c r="S15" s="427"/>
      <c r="T15" s="427"/>
      <c r="U15" s="427"/>
      <c r="V15" s="428"/>
      <c r="Y15" s="37"/>
      <c r="Z15" s="37"/>
      <c r="AA15" s="37"/>
      <c r="AB15" s="37"/>
      <c r="AC15" s="37"/>
      <c r="AD15" s="37"/>
      <c r="AE15" s="37"/>
      <c r="AF15" s="37"/>
      <c r="AG15" s="37"/>
      <c r="AH15" s="37"/>
      <c r="AI15" s="37"/>
    </row>
    <row r="16" spans="1:36" ht="15.95" customHeight="1">
      <c r="A16" s="52" t="s">
        <v>68</v>
      </c>
      <c r="B16" s="53"/>
      <c r="C16" s="53"/>
      <c r="D16" s="53"/>
      <c r="E16" s="53"/>
      <c r="F16" s="53"/>
      <c r="G16" s="53"/>
      <c r="H16" s="54"/>
      <c r="I16" s="449"/>
      <c r="J16" s="449"/>
      <c r="K16" s="449"/>
      <c r="L16" s="449"/>
      <c r="M16" s="450"/>
      <c r="O16" s="74" t="s">
        <v>142</v>
      </c>
      <c r="P16" s="55"/>
      <c r="Q16" s="55"/>
      <c r="R16" s="449"/>
      <c r="S16" s="449"/>
      <c r="T16" s="449"/>
      <c r="U16" s="449"/>
      <c r="V16" s="450"/>
      <c r="W16" s="40"/>
      <c r="Y16" s="37"/>
      <c r="Z16" s="37"/>
      <c r="AA16" s="37"/>
      <c r="AB16" s="37"/>
      <c r="AC16" s="37"/>
      <c r="AD16" s="37"/>
      <c r="AE16" s="37"/>
      <c r="AF16" s="37"/>
      <c r="AG16" s="37"/>
      <c r="AH16" s="37"/>
      <c r="AI16" s="37"/>
    </row>
    <row r="17" spans="1:36" ht="15.95" customHeight="1" thickBot="1">
      <c r="A17" s="52" t="s">
        <v>69</v>
      </c>
      <c r="B17" s="53"/>
      <c r="C17" s="53"/>
      <c r="D17" s="53"/>
      <c r="E17" s="53"/>
      <c r="F17" s="53"/>
      <c r="G17" s="53"/>
      <c r="H17" s="54"/>
      <c r="I17" s="444"/>
      <c r="J17" s="444"/>
      <c r="K17" s="444"/>
      <c r="L17" s="444"/>
      <c r="M17" s="445"/>
      <c r="O17" s="75" t="s">
        <v>143</v>
      </c>
      <c r="P17" s="68"/>
      <c r="Q17" s="68"/>
      <c r="R17" s="454"/>
      <c r="S17" s="454"/>
      <c r="T17" s="454"/>
      <c r="U17" s="454"/>
      <c r="V17" s="455"/>
      <c r="W17" s="40"/>
      <c r="Y17" s="37"/>
      <c r="Z17" s="37"/>
      <c r="AA17" s="37"/>
      <c r="AB17" s="37"/>
      <c r="AC17" s="37"/>
      <c r="AD17" s="37"/>
      <c r="AE17" s="37"/>
      <c r="AF17" s="37"/>
      <c r="AG17" s="37"/>
      <c r="AH17" s="37"/>
      <c r="AI17" s="37"/>
    </row>
    <row r="18" spans="1:36" ht="15.95" customHeight="1" thickBot="1">
      <c r="A18" s="52" t="s">
        <v>70</v>
      </c>
      <c r="B18" s="53"/>
      <c r="C18" s="53"/>
      <c r="D18" s="53"/>
      <c r="E18" s="53"/>
      <c r="F18" s="53"/>
      <c r="G18" s="53"/>
      <c r="H18" s="54"/>
      <c r="I18" s="444"/>
      <c r="J18" s="444"/>
      <c r="K18" s="444"/>
      <c r="L18" s="444"/>
      <c r="M18" s="445"/>
      <c r="O18" s="250"/>
      <c r="P18" s="251"/>
      <c r="Q18" s="251"/>
      <c r="R18" s="252"/>
      <c r="S18" s="252"/>
      <c r="T18" s="252"/>
      <c r="U18" s="252"/>
      <c r="V18" s="252"/>
      <c r="W18" s="40"/>
      <c r="Y18" s="37"/>
      <c r="Z18" s="37"/>
      <c r="AA18" s="37"/>
      <c r="AB18" s="37"/>
      <c r="AC18" s="37"/>
      <c r="AD18" s="37"/>
      <c r="AE18" s="37"/>
      <c r="AF18" s="37"/>
      <c r="AG18" s="37"/>
      <c r="AH18" s="37"/>
      <c r="AI18" s="37"/>
    </row>
    <row r="19" spans="1:36" ht="15.95" customHeight="1">
      <c r="A19" s="53" t="s">
        <v>71</v>
      </c>
      <c r="B19" s="53"/>
      <c r="C19" s="53"/>
      <c r="D19" s="53"/>
      <c r="E19" s="53"/>
      <c r="F19" s="53"/>
      <c r="G19" s="53"/>
      <c r="H19" s="54"/>
      <c r="I19" s="444"/>
      <c r="J19" s="444"/>
      <c r="K19" s="444"/>
      <c r="L19" s="444"/>
      <c r="M19" s="445"/>
      <c r="O19" s="245" t="s">
        <v>199</v>
      </c>
      <c r="P19" s="57"/>
      <c r="Q19" s="57"/>
      <c r="R19" s="500"/>
      <c r="S19" s="501"/>
      <c r="T19" s="501"/>
      <c r="U19" s="501"/>
      <c r="V19" s="502"/>
      <c r="W19" s="40"/>
      <c r="Y19" s="37"/>
      <c r="Z19" s="37"/>
      <c r="AA19" s="37"/>
      <c r="AB19" s="37"/>
      <c r="AC19" s="37"/>
      <c r="AD19" s="37"/>
      <c r="AE19" s="37"/>
      <c r="AF19" s="37"/>
      <c r="AG19" s="37"/>
      <c r="AH19" s="37"/>
      <c r="AI19" s="37"/>
      <c r="AJ19" s="40"/>
    </row>
    <row r="20" spans="1:36" ht="15.95" customHeight="1">
      <c r="A20" s="52" t="s">
        <v>124</v>
      </c>
      <c r="B20" s="53"/>
      <c r="C20" s="53"/>
      <c r="D20" s="53"/>
      <c r="E20" s="53"/>
      <c r="F20" s="53"/>
      <c r="G20" s="53"/>
      <c r="H20" s="54"/>
      <c r="I20" s="444"/>
      <c r="J20" s="444"/>
      <c r="K20" s="444"/>
      <c r="L20" s="444"/>
      <c r="M20" s="445"/>
      <c r="N20" s="41"/>
      <c r="O20" s="74" t="s">
        <v>141</v>
      </c>
      <c r="P20" s="64"/>
      <c r="Q20" s="64"/>
      <c r="R20" s="503"/>
      <c r="S20" s="504"/>
      <c r="T20" s="504"/>
      <c r="U20" s="504"/>
      <c r="V20" s="505"/>
      <c r="W20" s="40"/>
      <c r="Y20" s="37"/>
      <c r="Z20" s="37"/>
      <c r="AA20" s="37"/>
      <c r="AB20" s="37"/>
      <c r="AC20" s="37"/>
      <c r="AD20" s="37"/>
      <c r="AE20" s="37"/>
      <c r="AF20" s="37"/>
      <c r="AG20" s="37"/>
      <c r="AH20" s="37"/>
      <c r="AI20" s="37"/>
    </row>
    <row r="21" spans="1:36" ht="15.95" customHeight="1">
      <c r="A21" s="65" t="s">
        <v>49</v>
      </c>
      <c r="B21" s="53"/>
      <c r="C21" s="53"/>
      <c r="D21" s="53"/>
      <c r="E21" s="53"/>
      <c r="F21" s="53"/>
      <c r="G21" s="53"/>
      <c r="H21" s="54"/>
      <c r="I21" s="446"/>
      <c r="J21" s="447"/>
      <c r="K21" s="447"/>
      <c r="L21" s="447"/>
      <c r="M21" s="448"/>
      <c r="O21" s="74" t="s">
        <v>142</v>
      </c>
      <c r="P21" s="55"/>
      <c r="Q21" s="55"/>
      <c r="R21" s="506"/>
      <c r="S21" s="506"/>
      <c r="T21" s="506"/>
      <c r="U21" s="506"/>
      <c r="V21" s="507"/>
      <c r="W21" s="40"/>
      <c r="Y21" s="37"/>
      <c r="Z21" s="37"/>
      <c r="AA21" s="37"/>
      <c r="AB21" s="37"/>
      <c r="AC21" s="37"/>
      <c r="AD21" s="37"/>
      <c r="AE21" s="37"/>
      <c r="AF21" s="37"/>
      <c r="AG21" s="37"/>
      <c r="AH21" s="37"/>
      <c r="AI21" s="37"/>
    </row>
    <row r="22" spans="1:36" ht="15.95" customHeight="1" thickBot="1">
      <c r="A22" s="52" t="s">
        <v>140</v>
      </c>
      <c r="B22" s="53"/>
      <c r="C22" s="53"/>
      <c r="D22" s="53"/>
      <c r="E22" s="53"/>
      <c r="F22" s="53"/>
      <c r="G22" s="53"/>
      <c r="H22" s="54"/>
      <c r="I22" s="451"/>
      <c r="J22" s="452"/>
      <c r="K22" s="452"/>
      <c r="L22" s="452"/>
      <c r="M22" s="453"/>
      <c r="O22" s="75" t="s">
        <v>143</v>
      </c>
      <c r="P22" s="68"/>
      <c r="Q22" s="68"/>
      <c r="R22" s="508"/>
      <c r="S22" s="508"/>
      <c r="T22" s="508"/>
      <c r="U22" s="508"/>
      <c r="V22" s="509"/>
      <c r="W22" s="40"/>
      <c r="Y22" s="37"/>
      <c r="Z22" s="37"/>
      <c r="AA22" s="37"/>
      <c r="AB22" s="37"/>
      <c r="AC22" s="37"/>
      <c r="AD22" s="37"/>
      <c r="AE22" s="37"/>
      <c r="AF22" s="37"/>
      <c r="AG22" s="37"/>
      <c r="AH22" s="37"/>
      <c r="AI22" s="37"/>
    </row>
    <row r="23" spans="1:36" ht="15.95" customHeight="1" thickBot="1">
      <c r="A23" s="52" t="s">
        <v>141</v>
      </c>
      <c r="B23" s="48"/>
      <c r="C23" s="48"/>
      <c r="D23" s="48"/>
      <c r="E23" s="48"/>
      <c r="F23" s="48"/>
      <c r="G23" s="48"/>
      <c r="H23" s="49"/>
      <c r="I23" s="444"/>
      <c r="J23" s="444"/>
      <c r="K23" s="444"/>
      <c r="L23" s="444"/>
      <c r="M23" s="445"/>
      <c r="O23" s="36"/>
      <c r="P23" s="36"/>
      <c r="Q23" s="36"/>
      <c r="R23" s="36"/>
      <c r="S23" s="36"/>
      <c r="T23" s="36"/>
      <c r="U23" s="36"/>
      <c r="V23" s="36"/>
      <c r="Y23" s="37"/>
      <c r="Z23" s="37"/>
      <c r="AA23" s="37"/>
      <c r="AB23" s="37"/>
      <c r="AC23" s="37"/>
      <c r="AD23" s="37"/>
      <c r="AE23" s="37"/>
      <c r="AF23" s="37"/>
      <c r="AG23" s="37"/>
      <c r="AH23" s="37"/>
      <c r="AI23" s="37"/>
    </row>
    <row r="24" spans="1:36" ht="15.95" customHeight="1">
      <c r="A24" s="47" t="s">
        <v>142</v>
      </c>
      <c r="B24" s="48"/>
      <c r="C24" s="48"/>
      <c r="D24" s="48"/>
      <c r="E24" s="48"/>
      <c r="F24" s="48"/>
      <c r="G24" s="48"/>
      <c r="H24" s="49"/>
      <c r="I24" s="444"/>
      <c r="J24" s="444"/>
      <c r="K24" s="444"/>
      <c r="L24" s="444"/>
      <c r="M24" s="445"/>
      <c r="O24" s="262" t="s">
        <v>156</v>
      </c>
      <c r="P24" s="263"/>
      <c r="Q24" s="263"/>
      <c r="R24" s="422"/>
      <c r="S24" s="422"/>
      <c r="T24" s="422"/>
      <c r="U24" s="422"/>
      <c r="V24" s="423"/>
      <c r="W24" s="246"/>
      <c r="Y24" s="37"/>
      <c r="Z24" s="37"/>
      <c r="AA24" s="37"/>
      <c r="AB24" s="37"/>
      <c r="AC24" s="37"/>
      <c r="AD24" s="37"/>
      <c r="AE24" s="37"/>
      <c r="AF24" s="37"/>
      <c r="AG24" s="37"/>
      <c r="AH24" s="37"/>
      <c r="AI24" s="37"/>
    </row>
    <row r="25" spans="1:36" ht="15.95" customHeight="1" thickBot="1">
      <c r="A25" s="47" t="s">
        <v>143</v>
      </c>
      <c r="B25" s="48"/>
      <c r="C25" s="48"/>
      <c r="D25" s="48"/>
      <c r="E25" s="48"/>
      <c r="F25" s="48"/>
      <c r="G25" s="48"/>
      <c r="H25" s="49"/>
      <c r="I25" s="444"/>
      <c r="J25" s="444"/>
      <c r="K25" s="444"/>
      <c r="L25" s="444"/>
      <c r="M25" s="445"/>
      <c r="O25" s="264" t="s">
        <v>203</v>
      </c>
      <c r="P25" s="265"/>
      <c r="Q25" s="265"/>
      <c r="R25" s="454"/>
      <c r="S25" s="454"/>
      <c r="T25" s="454"/>
      <c r="U25" s="454"/>
      <c r="V25" s="455"/>
      <c r="W25" s="246"/>
      <c r="Y25" s="37"/>
      <c r="Z25" s="37"/>
      <c r="AA25" s="37"/>
      <c r="AB25" s="37"/>
      <c r="AC25" s="37"/>
      <c r="AD25" s="37"/>
      <c r="AE25" s="37"/>
      <c r="AF25" s="37"/>
      <c r="AG25" s="37"/>
      <c r="AH25" s="37"/>
      <c r="AI25" s="37"/>
    </row>
    <row r="26" spans="1:36" ht="15.95" customHeight="1" thickBot="1">
      <c r="A26" s="47" t="s">
        <v>144</v>
      </c>
      <c r="B26" s="48"/>
      <c r="C26" s="48"/>
      <c r="D26" s="48"/>
      <c r="E26" s="48"/>
      <c r="F26" s="48"/>
      <c r="G26" s="48"/>
      <c r="H26" s="49"/>
      <c r="I26" s="444"/>
      <c r="J26" s="444"/>
      <c r="K26" s="444"/>
      <c r="L26" s="444"/>
      <c r="M26" s="445"/>
      <c r="O26" s="36"/>
      <c r="P26" s="36"/>
      <c r="Q26" s="36"/>
      <c r="R26" s="36"/>
      <c r="S26" s="36"/>
      <c r="T26" s="36"/>
      <c r="U26" s="36"/>
      <c r="V26" s="36"/>
      <c r="Y26" s="37"/>
      <c r="Z26" s="37"/>
      <c r="AA26" s="37"/>
      <c r="AB26" s="37"/>
      <c r="AC26" s="37"/>
      <c r="AD26" s="37"/>
      <c r="AE26" s="37"/>
      <c r="AF26" s="37"/>
      <c r="AG26" s="37"/>
      <c r="AH26" s="37"/>
      <c r="AI26" s="37"/>
    </row>
    <row r="27" spans="1:36" ht="15.95" customHeight="1">
      <c r="A27" s="47" t="s">
        <v>145</v>
      </c>
      <c r="B27" s="48"/>
      <c r="C27" s="48"/>
      <c r="D27" s="48"/>
      <c r="E27" s="48"/>
      <c r="F27" s="48"/>
      <c r="G27" s="48"/>
      <c r="H27" s="49"/>
      <c r="I27" s="444"/>
      <c r="J27" s="444"/>
      <c r="K27" s="444"/>
      <c r="L27" s="444"/>
      <c r="M27" s="445"/>
      <c r="O27" s="56" t="s">
        <v>150</v>
      </c>
      <c r="P27" s="58"/>
      <c r="Q27" s="58"/>
      <c r="R27" s="456"/>
      <c r="S27" s="457"/>
      <c r="T27" s="457"/>
      <c r="U27" s="457"/>
      <c r="V27" s="457"/>
      <c r="W27" s="457"/>
      <c r="X27" s="458"/>
    </row>
    <row r="28" spans="1:36" ht="15.95" customHeight="1">
      <c r="A28" s="47" t="s">
        <v>146</v>
      </c>
      <c r="B28" s="48"/>
      <c r="C28" s="48"/>
      <c r="D28" s="48"/>
      <c r="E28" s="48"/>
      <c r="F28" s="48"/>
      <c r="G28" s="48"/>
      <c r="H28" s="49"/>
      <c r="I28" s="444"/>
      <c r="J28" s="444"/>
      <c r="K28" s="444"/>
      <c r="L28" s="444"/>
      <c r="M28" s="445"/>
      <c r="O28" s="52" t="s">
        <v>151</v>
      </c>
      <c r="P28" s="53"/>
      <c r="Q28" s="53"/>
      <c r="R28" s="459"/>
      <c r="S28" s="460"/>
      <c r="T28" s="460"/>
      <c r="U28" s="460"/>
      <c r="V28" s="460"/>
      <c r="W28" s="460"/>
      <c r="X28" s="461"/>
    </row>
    <row r="29" spans="1:36" ht="15.95" customHeight="1" thickBot="1">
      <c r="A29" s="47" t="s">
        <v>147</v>
      </c>
      <c r="B29" s="50"/>
      <c r="C29" s="50"/>
      <c r="D29" s="50"/>
      <c r="E29" s="50"/>
      <c r="F29" s="50"/>
      <c r="G29" s="50"/>
      <c r="H29" s="51"/>
      <c r="I29" s="444"/>
      <c r="J29" s="444"/>
      <c r="K29" s="444"/>
      <c r="L29" s="444"/>
      <c r="M29" s="445"/>
      <c r="O29" s="67" t="s">
        <v>152</v>
      </c>
      <c r="P29" s="68"/>
      <c r="Q29" s="68"/>
      <c r="R29" s="462"/>
      <c r="S29" s="463"/>
      <c r="T29" s="463"/>
      <c r="U29" s="463"/>
      <c r="V29" s="463"/>
      <c r="W29" s="463"/>
      <c r="X29" s="464"/>
    </row>
    <row r="30" spans="1:36" ht="15.95" customHeight="1" thickBot="1">
      <c r="A30" s="47" t="s">
        <v>148</v>
      </c>
      <c r="B30" s="48"/>
      <c r="C30" s="48"/>
      <c r="D30" s="48"/>
      <c r="E30" s="48"/>
      <c r="F30" s="48"/>
      <c r="G30" s="48"/>
      <c r="H30" s="49"/>
      <c r="I30" s="444"/>
      <c r="J30" s="444"/>
      <c r="K30" s="444"/>
      <c r="L30" s="444"/>
      <c r="M30" s="445"/>
    </row>
    <row r="31" spans="1:36" ht="15.95" customHeight="1" thickBot="1">
      <c r="A31" s="47" t="s">
        <v>149</v>
      </c>
      <c r="B31" s="48"/>
      <c r="C31" s="48"/>
      <c r="D31" s="48"/>
      <c r="E31" s="48"/>
      <c r="F31" s="48"/>
      <c r="G31" s="48"/>
      <c r="H31" s="49"/>
      <c r="I31" s="444"/>
      <c r="J31" s="444"/>
      <c r="K31" s="444"/>
      <c r="L31" s="444"/>
      <c r="M31" s="445"/>
      <c r="O31" s="473" t="s">
        <v>134</v>
      </c>
      <c r="P31" s="474"/>
      <c r="Q31" s="474"/>
      <c r="R31" s="474"/>
      <c r="S31" s="474"/>
      <c r="T31" s="474"/>
      <c r="U31" s="474"/>
      <c r="V31" s="474"/>
      <c r="W31" s="474"/>
      <c r="X31" s="479"/>
    </row>
    <row r="32" spans="1:36" ht="15.95" customHeight="1" thickBot="1">
      <c r="A32" s="65" t="s">
        <v>52</v>
      </c>
      <c r="B32" s="50"/>
      <c r="C32" s="50"/>
      <c r="D32" s="50"/>
      <c r="E32" s="50"/>
      <c r="F32" s="50"/>
      <c r="G32" s="50"/>
      <c r="H32" s="51"/>
      <c r="I32" s="465"/>
      <c r="J32" s="466"/>
      <c r="K32" s="466"/>
      <c r="L32" s="466"/>
      <c r="M32" s="467"/>
      <c r="O32" s="489"/>
      <c r="P32" s="490"/>
      <c r="Q32" s="491"/>
      <c r="R32" s="492" t="s">
        <v>155</v>
      </c>
      <c r="S32" s="493"/>
      <c r="T32" s="493"/>
      <c r="U32" s="493"/>
      <c r="V32" s="493"/>
      <c r="W32" s="493"/>
      <c r="X32" s="494"/>
    </row>
    <row r="33" spans="1:24" ht="15.95" customHeight="1" thickBot="1">
      <c r="A33" s="52" t="s">
        <v>140</v>
      </c>
      <c r="B33" s="50"/>
      <c r="C33" s="50"/>
      <c r="D33" s="50"/>
      <c r="E33" s="50"/>
      <c r="F33" s="50"/>
      <c r="G33" s="50"/>
      <c r="H33" s="51"/>
      <c r="I33" s="459"/>
      <c r="J33" s="460"/>
      <c r="K33" s="460"/>
      <c r="L33" s="460"/>
      <c r="M33" s="461"/>
      <c r="O33" s="70"/>
      <c r="P33" s="71"/>
      <c r="Q33" s="72"/>
      <c r="R33" s="492" t="s">
        <v>154</v>
      </c>
      <c r="S33" s="493"/>
      <c r="T33" s="493"/>
      <c r="U33" s="493"/>
      <c r="V33" s="493"/>
      <c r="W33" s="493"/>
      <c r="X33" s="494"/>
    </row>
    <row r="34" spans="1:24" ht="15.95" customHeight="1" thickBot="1">
      <c r="A34" s="52" t="s">
        <v>141</v>
      </c>
      <c r="B34" s="48"/>
      <c r="C34" s="48"/>
      <c r="D34" s="48"/>
      <c r="E34" s="48"/>
      <c r="F34" s="48"/>
      <c r="G34" s="48"/>
      <c r="H34" s="49"/>
      <c r="I34" s="444"/>
      <c r="J34" s="444"/>
      <c r="K34" s="444"/>
      <c r="L34" s="444"/>
      <c r="M34" s="445"/>
      <c r="O34" s="495"/>
      <c r="P34" s="496"/>
      <c r="Q34" s="497"/>
      <c r="R34" s="492" t="s">
        <v>153</v>
      </c>
      <c r="S34" s="493"/>
      <c r="T34" s="493"/>
      <c r="U34" s="493"/>
      <c r="V34" s="493"/>
      <c r="W34" s="493"/>
      <c r="X34" s="494"/>
    </row>
    <row r="35" spans="1:24" ht="15.95" customHeight="1" thickBot="1">
      <c r="A35" s="47" t="s">
        <v>142</v>
      </c>
      <c r="B35" s="48"/>
      <c r="C35" s="48"/>
      <c r="D35" s="48"/>
      <c r="E35" s="48"/>
      <c r="F35" s="48"/>
      <c r="G35" s="48"/>
      <c r="H35" s="49"/>
      <c r="I35" s="444"/>
      <c r="J35" s="444"/>
      <c r="K35" s="444"/>
      <c r="L35" s="444"/>
      <c r="M35" s="445"/>
      <c r="O35" s="468"/>
      <c r="P35" s="469"/>
      <c r="Q35" s="470"/>
      <c r="R35" s="483" t="s">
        <v>135</v>
      </c>
      <c r="S35" s="484"/>
      <c r="T35" s="484"/>
      <c r="U35" s="484"/>
      <c r="V35" s="484"/>
      <c r="W35" s="484"/>
      <c r="X35" s="485"/>
    </row>
    <row r="36" spans="1:24" ht="15.95" customHeight="1" thickBot="1">
      <c r="A36" s="47" t="s">
        <v>143</v>
      </c>
      <c r="B36" s="48"/>
      <c r="C36" s="48"/>
      <c r="D36" s="48"/>
      <c r="E36" s="48"/>
      <c r="F36" s="48"/>
      <c r="G36" s="48"/>
      <c r="H36" s="49"/>
      <c r="I36" s="444"/>
      <c r="J36" s="444"/>
      <c r="K36" s="444"/>
      <c r="L36" s="444"/>
      <c r="M36" s="445"/>
      <c r="O36" s="46"/>
      <c r="P36" s="46"/>
      <c r="Q36" s="46"/>
      <c r="R36" s="46"/>
      <c r="S36" s="46"/>
      <c r="T36" s="46"/>
      <c r="U36" s="46"/>
      <c r="V36" s="46"/>
      <c r="W36" s="46"/>
      <c r="X36" s="46"/>
    </row>
    <row r="37" spans="1:24" ht="15.95" customHeight="1" thickBot="1">
      <c r="A37" s="47" t="s">
        <v>144</v>
      </c>
      <c r="B37" s="50"/>
      <c r="C37" s="50"/>
      <c r="D37" s="50"/>
      <c r="E37" s="50"/>
      <c r="F37" s="50"/>
      <c r="G37" s="50"/>
      <c r="H37" s="51"/>
      <c r="I37" s="444"/>
      <c r="J37" s="444"/>
      <c r="K37" s="444"/>
      <c r="L37" s="444"/>
      <c r="M37" s="445"/>
      <c r="O37" s="473" t="s">
        <v>136</v>
      </c>
      <c r="P37" s="474"/>
      <c r="Q37" s="474"/>
      <c r="R37" s="474"/>
      <c r="S37" s="474"/>
      <c r="T37" s="474"/>
      <c r="U37" s="474"/>
      <c r="V37" s="474"/>
      <c r="W37" s="474"/>
      <c r="X37" s="479"/>
    </row>
    <row r="38" spans="1:24" ht="15.95" customHeight="1" thickBot="1">
      <c r="A38" s="47" t="s">
        <v>145</v>
      </c>
      <c r="B38" s="50"/>
      <c r="C38" s="50"/>
      <c r="D38" s="50"/>
      <c r="E38" s="50"/>
      <c r="F38" s="50"/>
      <c r="G38" s="50"/>
      <c r="H38" s="51"/>
      <c r="I38" s="444"/>
      <c r="J38" s="444"/>
      <c r="K38" s="444"/>
      <c r="L38" s="444"/>
      <c r="M38" s="445"/>
      <c r="O38" s="480"/>
      <c r="P38" s="481"/>
      <c r="Q38" s="482"/>
      <c r="R38" s="483" t="s">
        <v>137</v>
      </c>
      <c r="S38" s="484"/>
      <c r="T38" s="484"/>
      <c r="U38" s="484"/>
      <c r="V38" s="484"/>
      <c r="W38" s="484"/>
      <c r="X38" s="485"/>
    </row>
    <row r="39" spans="1:24" ht="15.95" customHeight="1" thickBot="1">
      <c r="A39" s="47" t="s">
        <v>146</v>
      </c>
      <c r="B39" s="48"/>
      <c r="C39" s="48"/>
      <c r="D39" s="48"/>
      <c r="E39" s="48"/>
      <c r="F39" s="48"/>
      <c r="G39" s="48"/>
      <c r="H39" s="49"/>
      <c r="I39" s="444"/>
      <c r="J39" s="444"/>
      <c r="K39" s="444"/>
      <c r="L39" s="444"/>
      <c r="M39" s="445"/>
      <c r="O39" s="486"/>
      <c r="P39" s="487"/>
      <c r="Q39" s="488"/>
      <c r="R39" s="483" t="s">
        <v>138</v>
      </c>
      <c r="S39" s="484"/>
      <c r="T39" s="484"/>
      <c r="U39" s="484"/>
      <c r="V39" s="484"/>
      <c r="W39" s="484"/>
      <c r="X39" s="485"/>
    </row>
    <row r="40" spans="1:24" ht="15.95" customHeight="1" thickBot="1">
      <c r="A40" s="47" t="s">
        <v>147</v>
      </c>
      <c r="B40" s="48"/>
      <c r="C40" s="48"/>
      <c r="D40" s="48"/>
      <c r="E40" s="48"/>
      <c r="F40" s="48"/>
      <c r="G40" s="48"/>
      <c r="H40" s="49"/>
      <c r="I40" s="444"/>
      <c r="J40" s="444"/>
      <c r="K40" s="444"/>
      <c r="L40" s="444"/>
      <c r="M40" s="445"/>
      <c r="O40" s="471"/>
      <c r="P40" s="472"/>
      <c r="Q40" s="472"/>
      <c r="R40" s="492" t="s">
        <v>257</v>
      </c>
      <c r="S40" s="484"/>
      <c r="T40" s="484"/>
      <c r="U40" s="484"/>
      <c r="V40" s="484"/>
      <c r="W40" s="484"/>
      <c r="X40" s="485"/>
    </row>
    <row r="41" spans="1:24" ht="15.95" customHeight="1" thickBot="1">
      <c r="A41" s="47" t="s">
        <v>148</v>
      </c>
      <c r="B41" s="48"/>
      <c r="C41" s="48"/>
      <c r="D41" s="48"/>
      <c r="E41" s="48"/>
      <c r="F41" s="48"/>
      <c r="G41" s="48"/>
      <c r="H41" s="49"/>
      <c r="I41" s="444"/>
      <c r="J41" s="444"/>
      <c r="K41" s="444"/>
      <c r="L41" s="444"/>
      <c r="M41" s="445"/>
    </row>
    <row r="42" spans="1:24" ht="15.95" customHeight="1" thickBot="1">
      <c r="A42" s="60" t="s">
        <v>149</v>
      </c>
      <c r="B42" s="61"/>
      <c r="C42" s="61"/>
      <c r="D42" s="61"/>
      <c r="E42" s="61"/>
      <c r="F42" s="61"/>
      <c r="G42" s="61"/>
      <c r="H42" s="62"/>
      <c r="I42" s="454"/>
      <c r="J42" s="454"/>
      <c r="K42" s="454"/>
      <c r="L42" s="454"/>
      <c r="M42" s="455"/>
      <c r="O42" s="473" t="s">
        <v>158</v>
      </c>
      <c r="P42" s="474"/>
      <c r="Q42" s="474"/>
      <c r="R42" s="475"/>
      <c r="S42" s="475"/>
      <c r="T42" s="475"/>
      <c r="U42" s="475"/>
      <c r="V42" s="475"/>
      <c r="W42" s="475"/>
      <c r="X42" s="476"/>
    </row>
    <row r="43" spans="1:24" ht="15.95" customHeight="1">
      <c r="O43" s="52" t="s">
        <v>123</v>
      </c>
      <c r="P43" s="50"/>
      <c r="Q43" s="50"/>
      <c r="R43" s="477">
        <f>IF(I20="Mammo",10,50)</f>
        <v>50</v>
      </c>
      <c r="S43" s="477"/>
      <c r="T43" s="477"/>
      <c r="U43" s="477"/>
      <c r="V43" s="477"/>
      <c r="W43" s="477"/>
      <c r="X43" s="478"/>
    </row>
    <row r="44" spans="1:24" ht="15.95" customHeight="1">
      <c r="O44" s="52" t="s">
        <v>97</v>
      </c>
      <c r="P44" s="50"/>
      <c r="Q44" s="50"/>
      <c r="R44" s="477" t="s">
        <v>157</v>
      </c>
      <c r="S44" s="477"/>
      <c r="T44" s="477"/>
      <c r="U44" s="477"/>
      <c r="V44" s="477"/>
      <c r="W44" s="477"/>
      <c r="X44" s="478"/>
    </row>
    <row r="45" spans="1:24" ht="15.95" customHeight="1">
      <c r="O45" s="52" t="s">
        <v>96</v>
      </c>
      <c r="P45" s="50"/>
      <c r="Q45" s="50"/>
      <c r="R45" s="477">
        <f>IF(I20="Anden diagnostik",0.2,0.15)</f>
        <v>0.15</v>
      </c>
      <c r="S45" s="477"/>
      <c r="T45" s="477"/>
      <c r="U45" s="477"/>
      <c r="V45" s="477"/>
      <c r="W45" s="477"/>
      <c r="X45" s="478"/>
    </row>
    <row r="46" spans="1:24" ht="15.95" customHeight="1">
      <c r="O46" s="52" t="s">
        <v>179</v>
      </c>
      <c r="P46" s="50"/>
      <c r="Q46" s="50"/>
      <c r="R46" s="510">
        <v>250</v>
      </c>
      <c r="S46" s="511"/>
      <c r="T46" s="511"/>
      <c r="U46" s="511"/>
      <c r="V46" s="511"/>
      <c r="W46" s="511"/>
      <c r="X46" s="512"/>
    </row>
    <row r="47" spans="1:24" ht="15.95" customHeight="1">
      <c r="O47" s="52" t="s">
        <v>180</v>
      </c>
      <c r="P47" s="50"/>
      <c r="Q47" s="50"/>
      <c r="R47" s="510">
        <v>1.5</v>
      </c>
      <c r="S47" s="511"/>
      <c r="T47" s="511"/>
      <c r="U47" s="511">
        <v>1.5</v>
      </c>
      <c r="V47" s="511"/>
      <c r="W47" s="511"/>
      <c r="X47" s="512"/>
    </row>
    <row r="48" spans="1:24" ht="15.95" customHeight="1">
      <c r="O48" s="52" t="s">
        <v>46</v>
      </c>
      <c r="P48" s="50"/>
      <c r="Q48" s="50"/>
      <c r="R48" s="513">
        <v>0.15</v>
      </c>
      <c r="S48" s="513"/>
      <c r="T48" s="513"/>
      <c r="U48" s="513"/>
      <c r="V48" s="513"/>
      <c r="W48" s="513"/>
      <c r="X48" s="514"/>
    </row>
    <row r="49" spans="15:24" ht="15.95" customHeight="1">
      <c r="O49" s="52" t="s">
        <v>53</v>
      </c>
      <c r="P49" s="50"/>
      <c r="Q49" s="50"/>
      <c r="R49" s="477" t="s">
        <v>174</v>
      </c>
      <c r="S49" s="477"/>
      <c r="T49" s="477"/>
      <c r="U49" s="477"/>
      <c r="V49" s="477"/>
      <c r="W49" s="477"/>
      <c r="X49" s="478"/>
    </row>
    <row r="50" spans="15:24" ht="15.95" customHeight="1">
      <c r="O50" s="52" t="s">
        <v>81</v>
      </c>
      <c r="P50" s="50"/>
      <c r="Q50" s="50"/>
      <c r="R50" s="513">
        <v>0.1</v>
      </c>
      <c r="S50" s="513"/>
      <c r="T50" s="513"/>
      <c r="U50" s="513"/>
      <c r="V50" s="513"/>
      <c r="W50" s="513"/>
      <c r="X50" s="514"/>
    </row>
    <row r="51" spans="15:24" ht="15.95" customHeight="1" thickBot="1">
      <c r="O51" s="67" t="s">
        <v>100</v>
      </c>
      <c r="P51" s="73"/>
      <c r="Q51" s="73"/>
      <c r="R51" s="498" t="s">
        <v>122</v>
      </c>
      <c r="S51" s="498"/>
      <c r="T51" s="498"/>
      <c r="U51" s="498"/>
      <c r="V51" s="498"/>
      <c r="W51" s="498"/>
      <c r="X51" s="499"/>
    </row>
    <row r="52" spans="15:24" ht="15.95" customHeight="1"/>
    <row r="53" spans="15:24" ht="15.95" customHeight="1"/>
    <row r="54" spans="15:24" ht="15.95" customHeight="1"/>
    <row r="55" spans="15:24" ht="15.95" customHeight="1"/>
    <row r="56" spans="15:24" ht="15.95" customHeight="1"/>
    <row r="57" spans="15:24" ht="15.95" customHeight="1"/>
    <row r="58" spans="15:24" ht="15.95" customHeight="1"/>
  </sheetData>
  <mergeCells count="90">
    <mergeCell ref="R51:X51"/>
    <mergeCell ref="R45:X45"/>
    <mergeCell ref="R19:V19"/>
    <mergeCell ref="R20:V20"/>
    <mergeCell ref="R21:V21"/>
    <mergeCell ref="R22:V22"/>
    <mergeCell ref="R46:X46"/>
    <mergeCell ref="R48:X48"/>
    <mergeCell ref="R49:X49"/>
    <mergeCell ref="R50:X50"/>
    <mergeCell ref="R47:X47"/>
    <mergeCell ref="R35:X35"/>
    <mergeCell ref="R44:X44"/>
    <mergeCell ref="R40:X40"/>
    <mergeCell ref="R16:V16"/>
    <mergeCell ref="R17:V17"/>
    <mergeCell ref="R24:V24"/>
    <mergeCell ref="O42:X42"/>
    <mergeCell ref="R43:X43"/>
    <mergeCell ref="O37:X37"/>
    <mergeCell ref="O38:Q38"/>
    <mergeCell ref="R38:X38"/>
    <mergeCell ref="O39:Q39"/>
    <mergeCell ref="R39:X39"/>
    <mergeCell ref="O31:X31"/>
    <mergeCell ref="O32:Q32"/>
    <mergeCell ref="R32:X32"/>
    <mergeCell ref="R33:X33"/>
    <mergeCell ref="O34:Q34"/>
    <mergeCell ref="R34:X34"/>
    <mergeCell ref="O35:Q35"/>
    <mergeCell ref="I42:M42"/>
    <mergeCell ref="I38:M38"/>
    <mergeCell ref="I39:M39"/>
    <mergeCell ref="I40:M40"/>
    <mergeCell ref="I35:M35"/>
    <mergeCell ref="I36:M36"/>
    <mergeCell ref="I37:M37"/>
    <mergeCell ref="I41:M41"/>
    <mergeCell ref="O40:Q40"/>
    <mergeCell ref="I32:M32"/>
    <mergeCell ref="I33:M33"/>
    <mergeCell ref="I34:M34"/>
    <mergeCell ref="I30:M30"/>
    <mergeCell ref="I31:M31"/>
    <mergeCell ref="I29:M29"/>
    <mergeCell ref="I24:M24"/>
    <mergeCell ref="I25:M25"/>
    <mergeCell ref="I26:M26"/>
    <mergeCell ref="R27:X27"/>
    <mergeCell ref="R28:X28"/>
    <mergeCell ref="R29:X29"/>
    <mergeCell ref="I22:M22"/>
    <mergeCell ref="I23:M23"/>
    <mergeCell ref="I27:M27"/>
    <mergeCell ref="I28:M28"/>
    <mergeCell ref="R25:V25"/>
    <mergeCell ref="I20:M20"/>
    <mergeCell ref="I21:M21"/>
    <mergeCell ref="I18:M18"/>
    <mergeCell ref="I19:M19"/>
    <mergeCell ref="I16:M16"/>
    <mergeCell ref="I17:M17"/>
    <mergeCell ref="R14:V14"/>
    <mergeCell ref="I14:M14"/>
    <mergeCell ref="I15:M15"/>
    <mergeCell ref="A9:C9"/>
    <mergeCell ref="D9:E9"/>
    <mergeCell ref="F9:I9"/>
    <mergeCell ref="J9:L9"/>
    <mergeCell ref="A11:X12"/>
    <mergeCell ref="R15:V15"/>
    <mergeCell ref="A5:L6"/>
    <mergeCell ref="M6:O6"/>
    <mergeCell ref="P6:X6"/>
    <mergeCell ref="A4:L4"/>
    <mergeCell ref="M5:O5"/>
    <mergeCell ref="P5:X5"/>
    <mergeCell ref="M4:O4"/>
    <mergeCell ref="P4:T4"/>
    <mergeCell ref="U4:V4"/>
    <mergeCell ref="W4:X4"/>
    <mergeCell ref="AI2:AJ2"/>
    <mergeCell ref="AI3:AJ3"/>
    <mergeCell ref="AI4:AJ4"/>
    <mergeCell ref="A1:C3"/>
    <mergeCell ref="D1:L2"/>
    <mergeCell ref="M1:X2"/>
    <mergeCell ref="D3:L3"/>
    <mergeCell ref="M3:X3"/>
  </mergeCells>
  <conditionalFormatting sqref="P4:T4">
    <cfRule type="expression" dxfId="129" priority="8" stopIfTrue="1">
      <formula>$P$4=""</formula>
    </cfRule>
  </conditionalFormatting>
  <conditionalFormatting sqref="W4:X4">
    <cfRule type="expression" dxfId="128" priority="9" stopIfTrue="1">
      <formula>$W$4=""</formula>
    </cfRule>
  </conditionalFormatting>
  <conditionalFormatting sqref="M3:X3">
    <cfRule type="expression" dxfId="127" priority="10" stopIfTrue="1">
      <formula>$M$1=""</formula>
    </cfRule>
  </conditionalFormatting>
  <conditionalFormatting sqref="M1:X2">
    <cfRule type="cellIs" dxfId="126" priority="11" stopIfTrue="1" operator="equal">
      <formula>""</formula>
    </cfRule>
  </conditionalFormatting>
  <conditionalFormatting sqref="I26:M31">
    <cfRule type="expression" dxfId="125" priority="7">
      <formula>$I$14="Statuskontrol"</formula>
    </cfRule>
  </conditionalFormatting>
  <conditionalFormatting sqref="I37:M42">
    <cfRule type="expression" dxfId="124" priority="6">
      <formula>$I$14="Statuskontrol"</formula>
    </cfRule>
  </conditionalFormatting>
  <conditionalFormatting sqref="A5:L6">
    <cfRule type="expression" dxfId="123" priority="4">
      <formula>$A$5=""</formula>
    </cfRule>
  </conditionalFormatting>
  <conditionalFormatting sqref="P5:X5">
    <cfRule type="expression" dxfId="122" priority="3">
      <formula>$P$5=""</formula>
    </cfRule>
  </conditionalFormatting>
  <conditionalFormatting sqref="P6">
    <cfRule type="expression" dxfId="121" priority="2">
      <formula>$P$6=""</formula>
    </cfRule>
  </conditionalFormatting>
  <dataValidations count="4">
    <dataValidation type="list" allowBlank="1" showInputMessage="1" showErrorMessage="1" sqref="WLU983080:WLY983080 JE35:JI35 TA35:TE35 ACW35:ADA35 AMS35:AMW35 AWO35:AWS35 BGK35:BGO35 BQG35:BQK35 CAC35:CAG35 CJY35:CKC35 CTU35:CTY35 DDQ35:DDU35 DNM35:DNQ35 DXI35:DXM35 EHE35:EHI35 ERA35:ERE35 FAW35:FBA35 FKS35:FKW35 FUO35:FUS35 GEK35:GEO35 GOG35:GOK35 GYC35:GYG35 HHY35:HIC35 HRU35:HRY35 IBQ35:IBU35 ILM35:ILQ35 IVI35:IVM35 JFE35:JFI35 JPA35:JPE35 JYW35:JZA35 KIS35:KIW35 KSO35:KSS35 LCK35:LCO35 LMG35:LMK35 LWC35:LWG35 MFY35:MGC35 MPU35:MPY35 MZQ35:MZU35 NJM35:NJQ35 NTI35:NTM35 ODE35:ODI35 ONA35:ONE35 OWW35:OXA35 PGS35:PGW35 PQO35:PQS35 QAK35:QAO35 QKG35:QKK35 QUC35:QUG35 RDY35:REC35 RNU35:RNY35 RXQ35:RXU35 SHM35:SHQ35 SRI35:SRM35 TBE35:TBI35 TLA35:TLE35 TUW35:TVA35 UES35:UEW35 UOO35:UOS35 UYK35:UYO35 VIG35:VIK35 VSC35:VSG35 WBY35:WCC35 WLU35:WLY35 WVQ35:WVU35 I65569:M65569 JE65571:JI65571 TA65571:TE65571 ACW65571:ADA65571 AMS65571:AMW65571 AWO65571:AWS65571 BGK65571:BGO65571 BQG65571:BQK65571 CAC65571:CAG65571 CJY65571:CKC65571 CTU65571:CTY65571 DDQ65571:DDU65571 DNM65571:DNQ65571 DXI65571:DXM65571 EHE65571:EHI65571 ERA65571:ERE65571 FAW65571:FBA65571 FKS65571:FKW65571 FUO65571:FUS65571 GEK65571:GEO65571 GOG65571:GOK65571 GYC65571:GYG65571 HHY65571:HIC65571 HRU65571:HRY65571 IBQ65571:IBU65571 ILM65571:ILQ65571 IVI65571:IVM65571 JFE65571:JFI65571 JPA65571:JPE65571 JYW65571:JZA65571 KIS65571:KIW65571 KSO65571:KSS65571 LCK65571:LCO65571 LMG65571:LMK65571 LWC65571:LWG65571 MFY65571:MGC65571 MPU65571:MPY65571 MZQ65571:MZU65571 NJM65571:NJQ65571 NTI65571:NTM65571 ODE65571:ODI65571 ONA65571:ONE65571 OWW65571:OXA65571 PGS65571:PGW65571 PQO65571:PQS65571 QAK65571:QAO65571 QKG65571:QKK65571 QUC65571:QUG65571 RDY65571:REC65571 RNU65571:RNY65571 RXQ65571:RXU65571 SHM65571:SHQ65571 SRI65571:SRM65571 TBE65571:TBI65571 TLA65571:TLE65571 TUW65571:TVA65571 UES65571:UEW65571 UOO65571:UOS65571 UYK65571:UYO65571 VIG65571:VIK65571 VSC65571:VSG65571 WBY65571:WCC65571 WLU65571:WLY65571 WVQ65571:WVU65571 I131105:M131105 JE131107:JI131107 TA131107:TE131107 ACW131107:ADA131107 AMS131107:AMW131107 AWO131107:AWS131107 BGK131107:BGO131107 BQG131107:BQK131107 CAC131107:CAG131107 CJY131107:CKC131107 CTU131107:CTY131107 DDQ131107:DDU131107 DNM131107:DNQ131107 DXI131107:DXM131107 EHE131107:EHI131107 ERA131107:ERE131107 FAW131107:FBA131107 FKS131107:FKW131107 FUO131107:FUS131107 GEK131107:GEO131107 GOG131107:GOK131107 GYC131107:GYG131107 HHY131107:HIC131107 HRU131107:HRY131107 IBQ131107:IBU131107 ILM131107:ILQ131107 IVI131107:IVM131107 JFE131107:JFI131107 JPA131107:JPE131107 JYW131107:JZA131107 KIS131107:KIW131107 KSO131107:KSS131107 LCK131107:LCO131107 LMG131107:LMK131107 LWC131107:LWG131107 MFY131107:MGC131107 MPU131107:MPY131107 MZQ131107:MZU131107 NJM131107:NJQ131107 NTI131107:NTM131107 ODE131107:ODI131107 ONA131107:ONE131107 OWW131107:OXA131107 PGS131107:PGW131107 PQO131107:PQS131107 QAK131107:QAO131107 QKG131107:QKK131107 QUC131107:QUG131107 RDY131107:REC131107 RNU131107:RNY131107 RXQ131107:RXU131107 SHM131107:SHQ131107 SRI131107:SRM131107 TBE131107:TBI131107 TLA131107:TLE131107 TUW131107:TVA131107 UES131107:UEW131107 UOO131107:UOS131107 UYK131107:UYO131107 VIG131107:VIK131107 VSC131107:VSG131107 WBY131107:WCC131107 WLU131107:WLY131107 WVQ131107:WVU131107 I196641:M196641 JE196643:JI196643 TA196643:TE196643 ACW196643:ADA196643 AMS196643:AMW196643 AWO196643:AWS196643 BGK196643:BGO196643 BQG196643:BQK196643 CAC196643:CAG196643 CJY196643:CKC196643 CTU196643:CTY196643 DDQ196643:DDU196643 DNM196643:DNQ196643 DXI196643:DXM196643 EHE196643:EHI196643 ERA196643:ERE196643 FAW196643:FBA196643 FKS196643:FKW196643 FUO196643:FUS196643 GEK196643:GEO196643 GOG196643:GOK196643 GYC196643:GYG196643 HHY196643:HIC196643 HRU196643:HRY196643 IBQ196643:IBU196643 ILM196643:ILQ196643 IVI196643:IVM196643 JFE196643:JFI196643 JPA196643:JPE196643 JYW196643:JZA196643 KIS196643:KIW196643 KSO196643:KSS196643 LCK196643:LCO196643 LMG196643:LMK196643 LWC196643:LWG196643 MFY196643:MGC196643 MPU196643:MPY196643 MZQ196643:MZU196643 NJM196643:NJQ196643 NTI196643:NTM196643 ODE196643:ODI196643 ONA196643:ONE196643 OWW196643:OXA196643 PGS196643:PGW196643 PQO196643:PQS196643 QAK196643:QAO196643 QKG196643:QKK196643 QUC196643:QUG196643 RDY196643:REC196643 RNU196643:RNY196643 RXQ196643:RXU196643 SHM196643:SHQ196643 SRI196643:SRM196643 TBE196643:TBI196643 TLA196643:TLE196643 TUW196643:TVA196643 UES196643:UEW196643 UOO196643:UOS196643 UYK196643:UYO196643 VIG196643:VIK196643 VSC196643:VSG196643 WBY196643:WCC196643 WLU196643:WLY196643 WVQ196643:WVU196643 I262177:M262177 JE262179:JI262179 TA262179:TE262179 ACW262179:ADA262179 AMS262179:AMW262179 AWO262179:AWS262179 BGK262179:BGO262179 BQG262179:BQK262179 CAC262179:CAG262179 CJY262179:CKC262179 CTU262179:CTY262179 DDQ262179:DDU262179 DNM262179:DNQ262179 DXI262179:DXM262179 EHE262179:EHI262179 ERA262179:ERE262179 FAW262179:FBA262179 FKS262179:FKW262179 FUO262179:FUS262179 GEK262179:GEO262179 GOG262179:GOK262179 GYC262179:GYG262179 HHY262179:HIC262179 HRU262179:HRY262179 IBQ262179:IBU262179 ILM262179:ILQ262179 IVI262179:IVM262179 JFE262179:JFI262179 JPA262179:JPE262179 JYW262179:JZA262179 KIS262179:KIW262179 KSO262179:KSS262179 LCK262179:LCO262179 LMG262179:LMK262179 LWC262179:LWG262179 MFY262179:MGC262179 MPU262179:MPY262179 MZQ262179:MZU262179 NJM262179:NJQ262179 NTI262179:NTM262179 ODE262179:ODI262179 ONA262179:ONE262179 OWW262179:OXA262179 PGS262179:PGW262179 PQO262179:PQS262179 QAK262179:QAO262179 QKG262179:QKK262179 QUC262179:QUG262179 RDY262179:REC262179 RNU262179:RNY262179 RXQ262179:RXU262179 SHM262179:SHQ262179 SRI262179:SRM262179 TBE262179:TBI262179 TLA262179:TLE262179 TUW262179:TVA262179 UES262179:UEW262179 UOO262179:UOS262179 UYK262179:UYO262179 VIG262179:VIK262179 VSC262179:VSG262179 WBY262179:WCC262179 WLU262179:WLY262179 WVQ262179:WVU262179 I327713:M327713 JE327715:JI327715 TA327715:TE327715 ACW327715:ADA327715 AMS327715:AMW327715 AWO327715:AWS327715 BGK327715:BGO327715 BQG327715:BQK327715 CAC327715:CAG327715 CJY327715:CKC327715 CTU327715:CTY327715 DDQ327715:DDU327715 DNM327715:DNQ327715 DXI327715:DXM327715 EHE327715:EHI327715 ERA327715:ERE327715 FAW327715:FBA327715 FKS327715:FKW327715 FUO327715:FUS327715 GEK327715:GEO327715 GOG327715:GOK327715 GYC327715:GYG327715 HHY327715:HIC327715 HRU327715:HRY327715 IBQ327715:IBU327715 ILM327715:ILQ327715 IVI327715:IVM327715 JFE327715:JFI327715 JPA327715:JPE327715 JYW327715:JZA327715 KIS327715:KIW327715 KSO327715:KSS327715 LCK327715:LCO327715 LMG327715:LMK327715 LWC327715:LWG327715 MFY327715:MGC327715 MPU327715:MPY327715 MZQ327715:MZU327715 NJM327715:NJQ327715 NTI327715:NTM327715 ODE327715:ODI327715 ONA327715:ONE327715 OWW327715:OXA327715 PGS327715:PGW327715 PQO327715:PQS327715 QAK327715:QAO327715 QKG327715:QKK327715 QUC327715:QUG327715 RDY327715:REC327715 RNU327715:RNY327715 RXQ327715:RXU327715 SHM327715:SHQ327715 SRI327715:SRM327715 TBE327715:TBI327715 TLA327715:TLE327715 TUW327715:TVA327715 UES327715:UEW327715 UOO327715:UOS327715 UYK327715:UYO327715 VIG327715:VIK327715 VSC327715:VSG327715 WBY327715:WCC327715 WLU327715:WLY327715 WVQ327715:WVU327715 I393249:M393249 JE393251:JI393251 TA393251:TE393251 ACW393251:ADA393251 AMS393251:AMW393251 AWO393251:AWS393251 BGK393251:BGO393251 BQG393251:BQK393251 CAC393251:CAG393251 CJY393251:CKC393251 CTU393251:CTY393251 DDQ393251:DDU393251 DNM393251:DNQ393251 DXI393251:DXM393251 EHE393251:EHI393251 ERA393251:ERE393251 FAW393251:FBA393251 FKS393251:FKW393251 FUO393251:FUS393251 GEK393251:GEO393251 GOG393251:GOK393251 GYC393251:GYG393251 HHY393251:HIC393251 HRU393251:HRY393251 IBQ393251:IBU393251 ILM393251:ILQ393251 IVI393251:IVM393251 JFE393251:JFI393251 JPA393251:JPE393251 JYW393251:JZA393251 KIS393251:KIW393251 KSO393251:KSS393251 LCK393251:LCO393251 LMG393251:LMK393251 LWC393251:LWG393251 MFY393251:MGC393251 MPU393251:MPY393251 MZQ393251:MZU393251 NJM393251:NJQ393251 NTI393251:NTM393251 ODE393251:ODI393251 ONA393251:ONE393251 OWW393251:OXA393251 PGS393251:PGW393251 PQO393251:PQS393251 QAK393251:QAO393251 QKG393251:QKK393251 QUC393251:QUG393251 RDY393251:REC393251 RNU393251:RNY393251 RXQ393251:RXU393251 SHM393251:SHQ393251 SRI393251:SRM393251 TBE393251:TBI393251 TLA393251:TLE393251 TUW393251:TVA393251 UES393251:UEW393251 UOO393251:UOS393251 UYK393251:UYO393251 VIG393251:VIK393251 VSC393251:VSG393251 WBY393251:WCC393251 WLU393251:WLY393251 WVQ393251:WVU393251 I458785:M458785 JE458787:JI458787 TA458787:TE458787 ACW458787:ADA458787 AMS458787:AMW458787 AWO458787:AWS458787 BGK458787:BGO458787 BQG458787:BQK458787 CAC458787:CAG458787 CJY458787:CKC458787 CTU458787:CTY458787 DDQ458787:DDU458787 DNM458787:DNQ458787 DXI458787:DXM458787 EHE458787:EHI458787 ERA458787:ERE458787 FAW458787:FBA458787 FKS458787:FKW458787 FUO458787:FUS458787 GEK458787:GEO458787 GOG458787:GOK458787 GYC458787:GYG458787 HHY458787:HIC458787 HRU458787:HRY458787 IBQ458787:IBU458787 ILM458787:ILQ458787 IVI458787:IVM458787 JFE458787:JFI458787 JPA458787:JPE458787 JYW458787:JZA458787 KIS458787:KIW458787 KSO458787:KSS458787 LCK458787:LCO458787 LMG458787:LMK458787 LWC458787:LWG458787 MFY458787:MGC458787 MPU458787:MPY458787 MZQ458787:MZU458787 NJM458787:NJQ458787 NTI458787:NTM458787 ODE458787:ODI458787 ONA458787:ONE458787 OWW458787:OXA458787 PGS458787:PGW458787 PQO458787:PQS458787 QAK458787:QAO458787 QKG458787:QKK458787 QUC458787:QUG458787 RDY458787:REC458787 RNU458787:RNY458787 RXQ458787:RXU458787 SHM458787:SHQ458787 SRI458787:SRM458787 TBE458787:TBI458787 TLA458787:TLE458787 TUW458787:TVA458787 UES458787:UEW458787 UOO458787:UOS458787 UYK458787:UYO458787 VIG458787:VIK458787 VSC458787:VSG458787 WBY458787:WCC458787 WLU458787:WLY458787 WVQ458787:WVU458787 I524321:M524321 JE524323:JI524323 TA524323:TE524323 ACW524323:ADA524323 AMS524323:AMW524323 AWO524323:AWS524323 BGK524323:BGO524323 BQG524323:BQK524323 CAC524323:CAG524323 CJY524323:CKC524323 CTU524323:CTY524323 DDQ524323:DDU524323 DNM524323:DNQ524323 DXI524323:DXM524323 EHE524323:EHI524323 ERA524323:ERE524323 FAW524323:FBA524323 FKS524323:FKW524323 FUO524323:FUS524323 GEK524323:GEO524323 GOG524323:GOK524323 GYC524323:GYG524323 HHY524323:HIC524323 HRU524323:HRY524323 IBQ524323:IBU524323 ILM524323:ILQ524323 IVI524323:IVM524323 JFE524323:JFI524323 JPA524323:JPE524323 JYW524323:JZA524323 KIS524323:KIW524323 KSO524323:KSS524323 LCK524323:LCO524323 LMG524323:LMK524323 LWC524323:LWG524323 MFY524323:MGC524323 MPU524323:MPY524323 MZQ524323:MZU524323 NJM524323:NJQ524323 NTI524323:NTM524323 ODE524323:ODI524323 ONA524323:ONE524323 OWW524323:OXA524323 PGS524323:PGW524323 PQO524323:PQS524323 QAK524323:QAO524323 QKG524323:QKK524323 QUC524323:QUG524323 RDY524323:REC524323 RNU524323:RNY524323 RXQ524323:RXU524323 SHM524323:SHQ524323 SRI524323:SRM524323 TBE524323:TBI524323 TLA524323:TLE524323 TUW524323:TVA524323 UES524323:UEW524323 UOO524323:UOS524323 UYK524323:UYO524323 VIG524323:VIK524323 VSC524323:VSG524323 WBY524323:WCC524323 WLU524323:WLY524323 WVQ524323:WVU524323 I589857:M589857 JE589859:JI589859 TA589859:TE589859 ACW589859:ADA589859 AMS589859:AMW589859 AWO589859:AWS589859 BGK589859:BGO589859 BQG589859:BQK589859 CAC589859:CAG589859 CJY589859:CKC589859 CTU589859:CTY589859 DDQ589859:DDU589859 DNM589859:DNQ589859 DXI589859:DXM589859 EHE589859:EHI589859 ERA589859:ERE589859 FAW589859:FBA589859 FKS589859:FKW589859 FUO589859:FUS589859 GEK589859:GEO589859 GOG589859:GOK589859 GYC589859:GYG589859 HHY589859:HIC589859 HRU589859:HRY589859 IBQ589859:IBU589859 ILM589859:ILQ589859 IVI589859:IVM589859 JFE589859:JFI589859 JPA589859:JPE589859 JYW589859:JZA589859 KIS589859:KIW589859 KSO589859:KSS589859 LCK589859:LCO589859 LMG589859:LMK589859 LWC589859:LWG589859 MFY589859:MGC589859 MPU589859:MPY589859 MZQ589859:MZU589859 NJM589859:NJQ589859 NTI589859:NTM589859 ODE589859:ODI589859 ONA589859:ONE589859 OWW589859:OXA589859 PGS589859:PGW589859 PQO589859:PQS589859 QAK589859:QAO589859 QKG589859:QKK589859 QUC589859:QUG589859 RDY589859:REC589859 RNU589859:RNY589859 RXQ589859:RXU589859 SHM589859:SHQ589859 SRI589859:SRM589859 TBE589859:TBI589859 TLA589859:TLE589859 TUW589859:TVA589859 UES589859:UEW589859 UOO589859:UOS589859 UYK589859:UYO589859 VIG589859:VIK589859 VSC589859:VSG589859 WBY589859:WCC589859 WLU589859:WLY589859 WVQ589859:WVU589859 I655393:M655393 JE655395:JI655395 TA655395:TE655395 ACW655395:ADA655395 AMS655395:AMW655395 AWO655395:AWS655395 BGK655395:BGO655395 BQG655395:BQK655395 CAC655395:CAG655395 CJY655395:CKC655395 CTU655395:CTY655395 DDQ655395:DDU655395 DNM655395:DNQ655395 DXI655395:DXM655395 EHE655395:EHI655395 ERA655395:ERE655395 FAW655395:FBA655395 FKS655395:FKW655395 FUO655395:FUS655395 GEK655395:GEO655395 GOG655395:GOK655395 GYC655395:GYG655395 HHY655395:HIC655395 HRU655395:HRY655395 IBQ655395:IBU655395 ILM655395:ILQ655395 IVI655395:IVM655395 JFE655395:JFI655395 JPA655395:JPE655395 JYW655395:JZA655395 KIS655395:KIW655395 KSO655395:KSS655395 LCK655395:LCO655395 LMG655395:LMK655395 LWC655395:LWG655395 MFY655395:MGC655395 MPU655395:MPY655395 MZQ655395:MZU655395 NJM655395:NJQ655395 NTI655395:NTM655395 ODE655395:ODI655395 ONA655395:ONE655395 OWW655395:OXA655395 PGS655395:PGW655395 PQO655395:PQS655395 QAK655395:QAO655395 QKG655395:QKK655395 QUC655395:QUG655395 RDY655395:REC655395 RNU655395:RNY655395 RXQ655395:RXU655395 SHM655395:SHQ655395 SRI655395:SRM655395 TBE655395:TBI655395 TLA655395:TLE655395 TUW655395:TVA655395 UES655395:UEW655395 UOO655395:UOS655395 UYK655395:UYO655395 VIG655395:VIK655395 VSC655395:VSG655395 WBY655395:WCC655395 WLU655395:WLY655395 WVQ655395:WVU655395 I720929:M720929 JE720931:JI720931 TA720931:TE720931 ACW720931:ADA720931 AMS720931:AMW720931 AWO720931:AWS720931 BGK720931:BGO720931 BQG720931:BQK720931 CAC720931:CAG720931 CJY720931:CKC720931 CTU720931:CTY720931 DDQ720931:DDU720931 DNM720931:DNQ720931 DXI720931:DXM720931 EHE720931:EHI720931 ERA720931:ERE720931 FAW720931:FBA720931 FKS720931:FKW720931 FUO720931:FUS720931 GEK720931:GEO720931 GOG720931:GOK720931 GYC720931:GYG720931 HHY720931:HIC720931 HRU720931:HRY720931 IBQ720931:IBU720931 ILM720931:ILQ720931 IVI720931:IVM720931 JFE720931:JFI720931 JPA720931:JPE720931 JYW720931:JZA720931 KIS720931:KIW720931 KSO720931:KSS720931 LCK720931:LCO720931 LMG720931:LMK720931 LWC720931:LWG720931 MFY720931:MGC720931 MPU720931:MPY720931 MZQ720931:MZU720931 NJM720931:NJQ720931 NTI720931:NTM720931 ODE720931:ODI720931 ONA720931:ONE720931 OWW720931:OXA720931 PGS720931:PGW720931 PQO720931:PQS720931 QAK720931:QAO720931 QKG720931:QKK720931 QUC720931:QUG720931 RDY720931:REC720931 RNU720931:RNY720931 RXQ720931:RXU720931 SHM720931:SHQ720931 SRI720931:SRM720931 TBE720931:TBI720931 TLA720931:TLE720931 TUW720931:TVA720931 UES720931:UEW720931 UOO720931:UOS720931 UYK720931:UYO720931 VIG720931:VIK720931 VSC720931:VSG720931 WBY720931:WCC720931 WLU720931:WLY720931 WVQ720931:WVU720931 I786465:M786465 JE786467:JI786467 TA786467:TE786467 ACW786467:ADA786467 AMS786467:AMW786467 AWO786467:AWS786467 BGK786467:BGO786467 BQG786467:BQK786467 CAC786467:CAG786467 CJY786467:CKC786467 CTU786467:CTY786467 DDQ786467:DDU786467 DNM786467:DNQ786467 DXI786467:DXM786467 EHE786467:EHI786467 ERA786467:ERE786467 FAW786467:FBA786467 FKS786467:FKW786467 FUO786467:FUS786467 GEK786467:GEO786467 GOG786467:GOK786467 GYC786467:GYG786467 HHY786467:HIC786467 HRU786467:HRY786467 IBQ786467:IBU786467 ILM786467:ILQ786467 IVI786467:IVM786467 JFE786467:JFI786467 JPA786467:JPE786467 JYW786467:JZA786467 KIS786467:KIW786467 KSO786467:KSS786467 LCK786467:LCO786467 LMG786467:LMK786467 LWC786467:LWG786467 MFY786467:MGC786467 MPU786467:MPY786467 MZQ786467:MZU786467 NJM786467:NJQ786467 NTI786467:NTM786467 ODE786467:ODI786467 ONA786467:ONE786467 OWW786467:OXA786467 PGS786467:PGW786467 PQO786467:PQS786467 QAK786467:QAO786467 QKG786467:QKK786467 QUC786467:QUG786467 RDY786467:REC786467 RNU786467:RNY786467 RXQ786467:RXU786467 SHM786467:SHQ786467 SRI786467:SRM786467 TBE786467:TBI786467 TLA786467:TLE786467 TUW786467:TVA786467 UES786467:UEW786467 UOO786467:UOS786467 UYK786467:UYO786467 VIG786467:VIK786467 VSC786467:VSG786467 WBY786467:WCC786467 WLU786467:WLY786467 WVQ786467:WVU786467 I852001:M852001 JE852003:JI852003 TA852003:TE852003 ACW852003:ADA852003 AMS852003:AMW852003 AWO852003:AWS852003 BGK852003:BGO852003 BQG852003:BQK852003 CAC852003:CAG852003 CJY852003:CKC852003 CTU852003:CTY852003 DDQ852003:DDU852003 DNM852003:DNQ852003 DXI852003:DXM852003 EHE852003:EHI852003 ERA852003:ERE852003 FAW852003:FBA852003 FKS852003:FKW852003 FUO852003:FUS852003 GEK852003:GEO852003 GOG852003:GOK852003 GYC852003:GYG852003 HHY852003:HIC852003 HRU852003:HRY852003 IBQ852003:IBU852003 ILM852003:ILQ852003 IVI852003:IVM852003 JFE852003:JFI852003 JPA852003:JPE852003 JYW852003:JZA852003 KIS852003:KIW852003 KSO852003:KSS852003 LCK852003:LCO852003 LMG852003:LMK852003 LWC852003:LWG852003 MFY852003:MGC852003 MPU852003:MPY852003 MZQ852003:MZU852003 NJM852003:NJQ852003 NTI852003:NTM852003 ODE852003:ODI852003 ONA852003:ONE852003 OWW852003:OXA852003 PGS852003:PGW852003 PQO852003:PQS852003 QAK852003:QAO852003 QKG852003:QKK852003 QUC852003:QUG852003 RDY852003:REC852003 RNU852003:RNY852003 RXQ852003:RXU852003 SHM852003:SHQ852003 SRI852003:SRM852003 TBE852003:TBI852003 TLA852003:TLE852003 TUW852003:TVA852003 UES852003:UEW852003 UOO852003:UOS852003 UYK852003:UYO852003 VIG852003:VIK852003 VSC852003:VSG852003 WBY852003:WCC852003 WLU852003:WLY852003 WVQ852003:WVU852003 I917537:M917537 JE917539:JI917539 TA917539:TE917539 ACW917539:ADA917539 AMS917539:AMW917539 AWO917539:AWS917539 BGK917539:BGO917539 BQG917539:BQK917539 CAC917539:CAG917539 CJY917539:CKC917539 CTU917539:CTY917539 DDQ917539:DDU917539 DNM917539:DNQ917539 DXI917539:DXM917539 EHE917539:EHI917539 ERA917539:ERE917539 FAW917539:FBA917539 FKS917539:FKW917539 FUO917539:FUS917539 GEK917539:GEO917539 GOG917539:GOK917539 GYC917539:GYG917539 HHY917539:HIC917539 HRU917539:HRY917539 IBQ917539:IBU917539 ILM917539:ILQ917539 IVI917539:IVM917539 JFE917539:JFI917539 JPA917539:JPE917539 JYW917539:JZA917539 KIS917539:KIW917539 KSO917539:KSS917539 LCK917539:LCO917539 LMG917539:LMK917539 LWC917539:LWG917539 MFY917539:MGC917539 MPU917539:MPY917539 MZQ917539:MZU917539 NJM917539:NJQ917539 NTI917539:NTM917539 ODE917539:ODI917539 ONA917539:ONE917539 OWW917539:OXA917539 PGS917539:PGW917539 PQO917539:PQS917539 QAK917539:QAO917539 QKG917539:QKK917539 QUC917539:QUG917539 RDY917539:REC917539 RNU917539:RNY917539 RXQ917539:RXU917539 SHM917539:SHQ917539 SRI917539:SRM917539 TBE917539:TBI917539 TLA917539:TLE917539 TUW917539:TVA917539 UES917539:UEW917539 UOO917539:UOS917539 UYK917539:UYO917539 VIG917539:VIK917539 VSC917539:VSG917539 WBY917539:WCC917539 WLU917539:WLY917539 WVQ917539:WVU917539 I983073:M983073 JE983075:JI983075 TA983075:TE983075 ACW983075:ADA983075 AMS983075:AMW983075 AWO983075:AWS983075 BGK983075:BGO983075 BQG983075:BQK983075 CAC983075:CAG983075 CJY983075:CKC983075 CTU983075:CTY983075 DDQ983075:DDU983075 DNM983075:DNQ983075 DXI983075:DXM983075 EHE983075:EHI983075 ERA983075:ERE983075 FAW983075:FBA983075 FKS983075:FKW983075 FUO983075:FUS983075 GEK983075:GEO983075 GOG983075:GOK983075 GYC983075:GYG983075 HHY983075:HIC983075 HRU983075:HRY983075 IBQ983075:IBU983075 ILM983075:ILQ983075 IVI983075:IVM983075 JFE983075:JFI983075 JPA983075:JPE983075 JYW983075:JZA983075 KIS983075:KIW983075 KSO983075:KSS983075 LCK983075:LCO983075 LMG983075:LMK983075 LWC983075:LWG983075 MFY983075:MGC983075 MPU983075:MPY983075 MZQ983075:MZU983075 NJM983075:NJQ983075 NTI983075:NTM983075 ODE983075:ODI983075 ONA983075:ONE983075 OWW983075:OXA983075 PGS983075:PGW983075 PQO983075:PQS983075 QAK983075:QAO983075 QKG983075:QKK983075 QUC983075:QUG983075 RDY983075:REC983075 RNU983075:RNY983075 RXQ983075:RXU983075 SHM983075:SHQ983075 SRI983075:SRM983075 TBE983075:TBI983075 TLA983075:TLE983075 TUW983075:TVA983075 UES983075:UEW983075 UOO983075:UOS983075 UYK983075:UYO983075 VIG983075:VIK983075 VSC983075:VSG983075 WBY983075:WCC983075 WLU983075:WLY983075 WVQ983075:WVU983075 WVQ983080:WVU983080 JE23:JI23 TA23:TE23 ACW23:ADA23 AMS23:AMW23 AWO23:AWS23 BGK23:BGO23 BQG23:BQK23 CAC23:CAG23 CJY23:CKC23 CTU23:CTY23 DDQ23:DDU23 DNM23:DNQ23 DXI23:DXM23 EHE23:EHI23 ERA23:ERE23 FAW23:FBA23 FKS23:FKW23 FUO23:FUS23 GEK23:GEO23 GOG23:GOK23 GYC23:GYG23 HHY23:HIC23 HRU23:HRY23 IBQ23:IBU23 ILM23:ILQ23 IVI23:IVM23 JFE23:JFI23 JPA23:JPE23 JYW23:JZA23 KIS23:KIW23 KSO23:KSS23 LCK23:LCO23 LMG23:LMK23 LWC23:LWG23 MFY23:MGC23 MPU23:MPY23 MZQ23:MZU23 NJM23:NJQ23 NTI23:NTM23 ODE23:ODI23 ONA23:ONE23 OWW23:OXA23 PGS23:PGW23 PQO23:PQS23 QAK23:QAO23 QKG23:QKK23 QUC23:QUG23 RDY23:REC23 RNU23:RNY23 RXQ23:RXU23 SHM23:SHQ23 SRI23:SRM23 TBE23:TBI23 TLA23:TLE23 TUW23:TVA23 UES23:UEW23 UOO23:UOS23 UYK23:UYO23 VIG23:VIK23 VSC23:VSG23 WBY23:WCC23 WLU23:WLY23 WVQ23:WVU23 I65557:M65557 JE65559:JI65559 TA65559:TE65559 ACW65559:ADA65559 AMS65559:AMW65559 AWO65559:AWS65559 BGK65559:BGO65559 BQG65559:BQK65559 CAC65559:CAG65559 CJY65559:CKC65559 CTU65559:CTY65559 DDQ65559:DDU65559 DNM65559:DNQ65559 DXI65559:DXM65559 EHE65559:EHI65559 ERA65559:ERE65559 FAW65559:FBA65559 FKS65559:FKW65559 FUO65559:FUS65559 GEK65559:GEO65559 GOG65559:GOK65559 GYC65559:GYG65559 HHY65559:HIC65559 HRU65559:HRY65559 IBQ65559:IBU65559 ILM65559:ILQ65559 IVI65559:IVM65559 JFE65559:JFI65559 JPA65559:JPE65559 JYW65559:JZA65559 KIS65559:KIW65559 KSO65559:KSS65559 LCK65559:LCO65559 LMG65559:LMK65559 LWC65559:LWG65559 MFY65559:MGC65559 MPU65559:MPY65559 MZQ65559:MZU65559 NJM65559:NJQ65559 NTI65559:NTM65559 ODE65559:ODI65559 ONA65559:ONE65559 OWW65559:OXA65559 PGS65559:PGW65559 PQO65559:PQS65559 QAK65559:QAO65559 QKG65559:QKK65559 QUC65559:QUG65559 RDY65559:REC65559 RNU65559:RNY65559 RXQ65559:RXU65559 SHM65559:SHQ65559 SRI65559:SRM65559 TBE65559:TBI65559 TLA65559:TLE65559 TUW65559:TVA65559 UES65559:UEW65559 UOO65559:UOS65559 UYK65559:UYO65559 VIG65559:VIK65559 VSC65559:VSG65559 WBY65559:WCC65559 WLU65559:WLY65559 WVQ65559:WVU65559 I131093:M131093 JE131095:JI131095 TA131095:TE131095 ACW131095:ADA131095 AMS131095:AMW131095 AWO131095:AWS131095 BGK131095:BGO131095 BQG131095:BQK131095 CAC131095:CAG131095 CJY131095:CKC131095 CTU131095:CTY131095 DDQ131095:DDU131095 DNM131095:DNQ131095 DXI131095:DXM131095 EHE131095:EHI131095 ERA131095:ERE131095 FAW131095:FBA131095 FKS131095:FKW131095 FUO131095:FUS131095 GEK131095:GEO131095 GOG131095:GOK131095 GYC131095:GYG131095 HHY131095:HIC131095 HRU131095:HRY131095 IBQ131095:IBU131095 ILM131095:ILQ131095 IVI131095:IVM131095 JFE131095:JFI131095 JPA131095:JPE131095 JYW131095:JZA131095 KIS131095:KIW131095 KSO131095:KSS131095 LCK131095:LCO131095 LMG131095:LMK131095 LWC131095:LWG131095 MFY131095:MGC131095 MPU131095:MPY131095 MZQ131095:MZU131095 NJM131095:NJQ131095 NTI131095:NTM131095 ODE131095:ODI131095 ONA131095:ONE131095 OWW131095:OXA131095 PGS131095:PGW131095 PQO131095:PQS131095 QAK131095:QAO131095 QKG131095:QKK131095 QUC131095:QUG131095 RDY131095:REC131095 RNU131095:RNY131095 RXQ131095:RXU131095 SHM131095:SHQ131095 SRI131095:SRM131095 TBE131095:TBI131095 TLA131095:TLE131095 TUW131095:TVA131095 UES131095:UEW131095 UOO131095:UOS131095 UYK131095:UYO131095 VIG131095:VIK131095 VSC131095:VSG131095 WBY131095:WCC131095 WLU131095:WLY131095 WVQ131095:WVU131095 I196629:M196629 JE196631:JI196631 TA196631:TE196631 ACW196631:ADA196631 AMS196631:AMW196631 AWO196631:AWS196631 BGK196631:BGO196631 BQG196631:BQK196631 CAC196631:CAG196631 CJY196631:CKC196631 CTU196631:CTY196631 DDQ196631:DDU196631 DNM196631:DNQ196631 DXI196631:DXM196631 EHE196631:EHI196631 ERA196631:ERE196631 FAW196631:FBA196631 FKS196631:FKW196631 FUO196631:FUS196631 GEK196631:GEO196631 GOG196631:GOK196631 GYC196631:GYG196631 HHY196631:HIC196631 HRU196631:HRY196631 IBQ196631:IBU196631 ILM196631:ILQ196631 IVI196631:IVM196631 JFE196631:JFI196631 JPA196631:JPE196631 JYW196631:JZA196631 KIS196631:KIW196631 KSO196631:KSS196631 LCK196631:LCO196631 LMG196631:LMK196631 LWC196631:LWG196631 MFY196631:MGC196631 MPU196631:MPY196631 MZQ196631:MZU196631 NJM196631:NJQ196631 NTI196631:NTM196631 ODE196631:ODI196631 ONA196631:ONE196631 OWW196631:OXA196631 PGS196631:PGW196631 PQO196631:PQS196631 QAK196631:QAO196631 QKG196631:QKK196631 QUC196631:QUG196631 RDY196631:REC196631 RNU196631:RNY196631 RXQ196631:RXU196631 SHM196631:SHQ196631 SRI196631:SRM196631 TBE196631:TBI196631 TLA196631:TLE196631 TUW196631:TVA196631 UES196631:UEW196631 UOO196631:UOS196631 UYK196631:UYO196631 VIG196631:VIK196631 VSC196631:VSG196631 WBY196631:WCC196631 WLU196631:WLY196631 WVQ196631:WVU196631 I262165:M262165 JE262167:JI262167 TA262167:TE262167 ACW262167:ADA262167 AMS262167:AMW262167 AWO262167:AWS262167 BGK262167:BGO262167 BQG262167:BQK262167 CAC262167:CAG262167 CJY262167:CKC262167 CTU262167:CTY262167 DDQ262167:DDU262167 DNM262167:DNQ262167 DXI262167:DXM262167 EHE262167:EHI262167 ERA262167:ERE262167 FAW262167:FBA262167 FKS262167:FKW262167 FUO262167:FUS262167 GEK262167:GEO262167 GOG262167:GOK262167 GYC262167:GYG262167 HHY262167:HIC262167 HRU262167:HRY262167 IBQ262167:IBU262167 ILM262167:ILQ262167 IVI262167:IVM262167 JFE262167:JFI262167 JPA262167:JPE262167 JYW262167:JZA262167 KIS262167:KIW262167 KSO262167:KSS262167 LCK262167:LCO262167 LMG262167:LMK262167 LWC262167:LWG262167 MFY262167:MGC262167 MPU262167:MPY262167 MZQ262167:MZU262167 NJM262167:NJQ262167 NTI262167:NTM262167 ODE262167:ODI262167 ONA262167:ONE262167 OWW262167:OXA262167 PGS262167:PGW262167 PQO262167:PQS262167 QAK262167:QAO262167 QKG262167:QKK262167 QUC262167:QUG262167 RDY262167:REC262167 RNU262167:RNY262167 RXQ262167:RXU262167 SHM262167:SHQ262167 SRI262167:SRM262167 TBE262167:TBI262167 TLA262167:TLE262167 TUW262167:TVA262167 UES262167:UEW262167 UOO262167:UOS262167 UYK262167:UYO262167 VIG262167:VIK262167 VSC262167:VSG262167 WBY262167:WCC262167 WLU262167:WLY262167 WVQ262167:WVU262167 I327701:M327701 JE327703:JI327703 TA327703:TE327703 ACW327703:ADA327703 AMS327703:AMW327703 AWO327703:AWS327703 BGK327703:BGO327703 BQG327703:BQK327703 CAC327703:CAG327703 CJY327703:CKC327703 CTU327703:CTY327703 DDQ327703:DDU327703 DNM327703:DNQ327703 DXI327703:DXM327703 EHE327703:EHI327703 ERA327703:ERE327703 FAW327703:FBA327703 FKS327703:FKW327703 FUO327703:FUS327703 GEK327703:GEO327703 GOG327703:GOK327703 GYC327703:GYG327703 HHY327703:HIC327703 HRU327703:HRY327703 IBQ327703:IBU327703 ILM327703:ILQ327703 IVI327703:IVM327703 JFE327703:JFI327703 JPA327703:JPE327703 JYW327703:JZA327703 KIS327703:KIW327703 KSO327703:KSS327703 LCK327703:LCO327703 LMG327703:LMK327703 LWC327703:LWG327703 MFY327703:MGC327703 MPU327703:MPY327703 MZQ327703:MZU327703 NJM327703:NJQ327703 NTI327703:NTM327703 ODE327703:ODI327703 ONA327703:ONE327703 OWW327703:OXA327703 PGS327703:PGW327703 PQO327703:PQS327703 QAK327703:QAO327703 QKG327703:QKK327703 QUC327703:QUG327703 RDY327703:REC327703 RNU327703:RNY327703 RXQ327703:RXU327703 SHM327703:SHQ327703 SRI327703:SRM327703 TBE327703:TBI327703 TLA327703:TLE327703 TUW327703:TVA327703 UES327703:UEW327703 UOO327703:UOS327703 UYK327703:UYO327703 VIG327703:VIK327703 VSC327703:VSG327703 WBY327703:WCC327703 WLU327703:WLY327703 WVQ327703:WVU327703 I393237:M393237 JE393239:JI393239 TA393239:TE393239 ACW393239:ADA393239 AMS393239:AMW393239 AWO393239:AWS393239 BGK393239:BGO393239 BQG393239:BQK393239 CAC393239:CAG393239 CJY393239:CKC393239 CTU393239:CTY393239 DDQ393239:DDU393239 DNM393239:DNQ393239 DXI393239:DXM393239 EHE393239:EHI393239 ERA393239:ERE393239 FAW393239:FBA393239 FKS393239:FKW393239 FUO393239:FUS393239 GEK393239:GEO393239 GOG393239:GOK393239 GYC393239:GYG393239 HHY393239:HIC393239 HRU393239:HRY393239 IBQ393239:IBU393239 ILM393239:ILQ393239 IVI393239:IVM393239 JFE393239:JFI393239 JPA393239:JPE393239 JYW393239:JZA393239 KIS393239:KIW393239 KSO393239:KSS393239 LCK393239:LCO393239 LMG393239:LMK393239 LWC393239:LWG393239 MFY393239:MGC393239 MPU393239:MPY393239 MZQ393239:MZU393239 NJM393239:NJQ393239 NTI393239:NTM393239 ODE393239:ODI393239 ONA393239:ONE393239 OWW393239:OXA393239 PGS393239:PGW393239 PQO393239:PQS393239 QAK393239:QAO393239 QKG393239:QKK393239 QUC393239:QUG393239 RDY393239:REC393239 RNU393239:RNY393239 RXQ393239:RXU393239 SHM393239:SHQ393239 SRI393239:SRM393239 TBE393239:TBI393239 TLA393239:TLE393239 TUW393239:TVA393239 UES393239:UEW393239 UOO393239:UOS393239 UYK393239:UYO393239 VIG393239:VIK393239 VSC393239:VSG393239 WBY393239:WCC393239 WLU393239:WLY393239 WVQ393239:WVU393239 I458773:M458773 JE458775:JI458775 TA458775:TE458775 ACW458775:ADA458775 AMS458775:AMW458775 AWO458775:AWS458775 BGK458775:BGO458775 BQG458775:BQK458775 CAC458775:CAG458775 CJY458775:CKC458775 CTU458775:CTY458775 DDQ458775:DDU458775 DNM458775:DNQ458775 DXI458775:DXM458775 EHE458775:EHI458775 ERA458775:ERE458775 FAW458775:FBA458775 FKS458775:FKW458775 FUO458775:FUS458775 GEK458775:GEO458775 GOG458775:GOK458775 GYC458775:GYG458775 HHY458775:HIC458775 HRU458775:HRY458775 IBQ458775:IBU458775 ILM458775:ILQ458775 IVI458775:IVM458775 JFE458775:JFI458775 JPA458775:JPE458775 JYW458775:JZA458775 KIS458775:KIW458775 KSO458775:KSS458775 LCK458775:LCO458775 LMG458775:LMK458775 LWC458775:LWG458775 MFY458775:MGC458775 MPU458775:MPY458775 MZQ458775:MZU458775 NJM458775:NJQ458775 NTI458775:NTM458775 ODE458775:ODI458775 ONA458775:ONE458775 OWW458775:OXA458775 PGS458775:PGW458775 PQO458775:PQS458775 QAK458775:QAO458775 QKG458775:QKK458775 QUC458775:QUG458775 RDY458775:REC458775 RNU458775:RNY458775 RXQ458775:RXU458775 SHM458775:SHQ458775 SRI458775:SRM458775 TBE458775:TBI458775 TLA458775:TLE458775 TUW458775:TVA458775 UES458775:UEW458775 UOO458775:UOS458775 UYK458775:UYO458775 VIG458775:VIK458775 VSC458775:VSG458775 WBY458775:WCC458775 WLU458775:WLY458775 WVQ458775:WVU458775 I524309:M524309 JE524311:JI524311 TA524311:TE524311 ACW524311:ADA524311 AMS524311:AMW524311 AWO524311:AWS524311 BGK524311:BGO524311 BQG524311:BQK524311 CAC524311:CAG524311 CJY524311:CKC524311 CTU524311:CTY524311 DDQ524311:DDU524311 DNM524311:DNQ524311 DXI524311:DXM524311 EHE524311:EHI524311 ERA524311:ERE524311 FAW524311:FBA524311 FKS524311:FKW524311 FUO524311:FUS524311 GEK524311:GEO524311 GOG524311:GOK524311 GYC524311:GYG524311 HHY524311:HIC524311 HRU524311:HRY524311 IBQ524311:IBU524311 ILM524311:ILQ524311 IVI524311:IVM524311 JFE524311:JFI524311 JPA524311:JPE524311 JYW524311:JZA524311 KIS524311:KIW524311 KSO524311:KSS524311 LCK524311:LCO524311 LMG524311:LMK524311 LWC524311:LWG524311 MFY524311:MGC524311 MPU524311:MPY524311 MZQ524311:MZU524311 NJM524311:NJQ524311 NTI524311:NTM524311 ODE524311:ODI524311 ONA524311:ONE524311 OWW524311:OXA524311 PGS524311:PGW524311 PQO524311:PQS524311 QAK524311:QAO524311 QKG524311:QKK524311 QUC524311:QUG524311 RDY524311:REC524311 RNU524311:RNY524311 RXQ524311:RXU524311 SHM524311:SHQ524311 SRI524311:SRM524311 TBE524311:TBI524311 TLA524311:TLE524311 TUW524311:TVA524311 UES524311:UEW524311 UOO524311:UOS524311 UYK524311:UYO524311 VIG524311:VIK524311 VSC524311:VSG524311 WBY524311:WCC524311 WLU524311:WLY524311 WVQ524311:WVU524311 I589845:M589845 JE589847:JI589847 TA589847:TE589847 ACW589847:ADA589847 AMS589847:AMW589847 AWO589847:AWS589847 BGK589847:BGO589847 BQG589847:BQK589847 CAC589847:CAG589847 CJY589847:CKC589847 CTU589847:CTY589847 DDQ589847:DDU589847 DNM589847:DNQ589847 DXI589847:DXM589847 EHE589847:EHI589847 ERA589847:ERE589847 FAW589847:FBA589847 FKS589847:FKW589847 FUO589847:FUS589847 GEK589847:GEO589847 GOG589847:GOK589847 GYC589847:GYG589847 HHY589847:HIC589847 HRU589847:HRY589847 IBQ589847:IBU589847 ILM589847:ILQ589847 IVI589847:IVM589847 JFE589847:JFI589847 JPA589847:JPE589847 JYW589847:JZA589847 KIS589847:KIW589847 KSO589847:KSS589847 LCK589847:LCO589847 LMG589847:LMK589847 LWC589847:LWG589847 MFY589847:MGC589847 MPU589847:MPY589847 MZQ589847:MZU589847 NJM589847:NJQ589847 NTI589847:NTM589847 ODE589847:ODI589847 ONA589847:ONE589847 OWW589847:OXA589847 PGS589847:PGW589847 PQO589847:PQS589847 QAK589847:QAO589847 QKG589847:QKK589847 QUC589847:QUG589847 RDY589847:REC589847 RNU589847:RNY589847 RXQ589847:RXU589847 SHM589847:SHQ589847 SRI589847:SRM589847 TBE589847:TBI589847 TLA589847:TLE589847 TUW589847:TVA589847 UES589847:UEW589847 UOO589847:UOS589847 UYK589847:UYO589847 VIG589847:VIK589847 VSC589847:VSG589847 WBY589847:WCC589847 WLU589847:WLY589847 WVQ589847:WVU589847 I655381:M655381 JE655383:JI655383 TA655383:TE655383 ACW655383:ADA655383 AMS655383:AMW655383 AWO655383:AWS655383 BGK655383:BGO655383 BQG655383:BQK655383 CAC655383:CAG655383 CJY655383:CKC655383 CTU655383:CTY655383 DDQ655383:DDU655383 DNM655383:DNQ655383 DXI655383:DXM655383 EHE655383:EHI655383 ERA655383:ERE655383 FAW655383:FBA655383 FKS655383:FKW655383 FUO655383:FUS655383 GEK655383:GEO655383 GOG655383:GOK655383 GYC655383:GYG655383 HHY655383:HIC655383 HRU655383:HRY655383 IBQ655383:IBU655383 ILM655383:ILQ655383 IVI655383:IVM655383 JFE655383:JFI655383 JPA655383:JPE655383 JYW655383:JZA655383 KIS655383:KIW655383 KSO655383:KSS655383 LCK655383:LCO655383 LMG655383:LMK655383 LWC655383:LWG655383 MFY655383:MGC655383 MPU655383:MPY655383 MZQ655383:MZU655383 NJM655383:NJQ655383 NTI655383:NTM655383 ODE655383:ODI655383 ONA655383:ONE655383 OWW655383:OXA655383 PGS655383:PGW655383 PQO655383:PQS655383 QAK655383:QAO655383 QKG655383:QKK655383 QUC655383:QUG655383 RDY655383:REC655383 RNU655383:RNY655383 RXQ655383:RXU655383 SHM655383:SHQ655383 SRI655383:SRM655383 TBE655383:TBI655383 TLA655383:TLE655383 TUW655383:TVA655383 UES655383:UEW655383 UOO655383:UOS655383 UYK655383:UYO655383 VIG655383:VIK655383 VSC655383:VSG655383 WBY655383:WCC655383 WLU655383:WLY655383 WVQ655383:WVU655383 I720917:M720917 JE720919:JI720919 TA720919:TE720919 ACW720919:ADA720919 AMS720919:AMW720919 AWO720919:AWS720919 BGK720919:BGO720919 BQG720919:BQK720919 CAC720919:CAG720919 CJY720919:CKC720919 CTU720919:CTY720919 DDQ720919:DDU720919 DNM720919:DNQ720919 DXI720919:DXM720919 EHE720919:EHI720919 ERA720919:ERE720919 FAW720919:FBA720919 FKS720919:FKW720919 FUO720919:FUS720919 GEK720919:GEO720919 GOG720919:GOK720919 GYC720919:GYG720919 HHY720919:HIC720919 HRU720919:HRY720919 IBQ720919:IBU720919 ILM720919:ILQ720919 IVI720919:IVM720919 JFE720919:JFI720919 JPA720919:JPE720919 JYW720919:JZA720919 KIS720919:KIW720919 KSO720919:KSS720919 LCK720919:LCO720919 LMG720919:LMK720919 LWC720919:LWG720919 MFY720919:MGC720919 MPU720919:MPY720919 MZQ720919:MZU720919 NJM720919:NJQ720919 NTI720919:NTM720919 ODE720919:ODI720919 ONA720919:ONE720919 OWW720919:OXA720919 PGS720919:PGW720919 PQO720919:PQS720919 QAK720919:QAO720919 QKG720919:QKK720919 QUC720919:QUG720919 RDY720919:REC720919 RNU720919:RNY720919 RXQ720919:RXU720919 SHM720919:SHQ720919 SRI720919:SRM720919 TBE720919:TBI720919 TLA720919:TLE720919 TUW720919:TVA720919 UES720919:UEW720919 UOO720919:UOS720919 UYK720919:UYO720919 VIG720919:VIK720919 VSC720919:VSG720919 WBY720919:WCC720919 WLU720919:WLY720919 WVQ720919:WVU720919 I786453:M786453 JE786455:JI786455 TA786455:TE786455 ACW786455:ADA786455 AMS786455:AMW786455 AWO786455:AWS786455 BGK786455:BGO786455 BQG786455:BQK786455 CAC786455:CAG786455 CJY786455:CKC786455 CTU786455:CTY786455 DDQ786455:DDU786455 DNM786455:DNQ786455 DXI786455:DXM786455 EHE786455:EHI786455 ERA786455:ERE786455 FAW786455:FBA786455 FKS786455:FKW786455 FUO786455:FUS786455 GEK786455:GEO786455 GOG786455:GOK786455 GYC786455:GYG786455 HHY786455:HIC786455 HRU786455:HRY786455 IBQ786455:IBU786455 ILM786455:ILQ786455 IVI786455:IVM786455 JFE786455:JFI786455 JPA786455:JPE786455 JYW786455:JZA786455 KIS786455:KIW786455 KSO786455:KSS786455 LCK786455:LCO786455 LMG786455:LMK786455 LWC786455:LWG786455 MFY786455:MGC786455 MPU786455:MPY786455 MZQ786455:MZU786455 NJM786455:NJQ786455 NTI786455:NTM786455 ODE786455:ODI786455 ONA786455:ONE786455 OWW786455:OXA786455 PGS786455:PGW786455 PQO786455:PQS786455 QAK786455:QAO786455 QKG786455:QKK786455 QUC786455:QUG786455 RDY786455:REC786455 RNU786455:RNY786455 RXQ786455:RXU786455 SHM786455:SHQ786455 SRI786455:SRM786455 TBE786455:TBI786455 TLA786455:TLE786455 TUW786455:TVA786455 UES786455:UEW786455 UOO786455:UOS786455 UYK786455:UYO786455 VIG786455:VIK786455 VSC786455:VSG786455 WBY786455:WCC786455 WLU786455:WLY786455 WVQ786455:WVU786455 I851989:M851989 JE851991:JI851991 TA851991:TE851991 ACW851991:ADA851991 AMS851991:AMW851991 AWO851991:AWS851991 BGK851991:BGO851991 BQG851991:BQK851991 CAC851991:CAG851991 CJY851991:CKC851991 CTU851991:CTY851991 DDQ851991:DDU851991 DNM851991:DNQ851991 DXI851991:DXM851991 EHE851991:EHI851991 ERA851991:ERE851991 FAW851991:FBA851991 FKS851991:FKW851991 FUO851991:FUS851991 GEK851991:GEO851991 GOG851991:GOK851991 GYC851991:GYG851991 HHY851991:HIC851991 HRU851991:HRY851991 IBQ851991:IBU851991 ILM851991:ILQ851991 IVI851991:IVM851991 JFE851991:JFI851991 JPA851991:JPE851991 JYW851991:JZA851991 KIS851991:KIW851991 KSO851991:KSS851991 LCK851991:LCO851991 LMG851991:LMK851991 LWC851991:LWG851991 MFY851991:MGC851991 MPU851991:MPY851991 MZQ851991:MZU851991 NJM851991:NJQ851991 NTI851991:NTM851991 ODE851991:ODI851991 ONA851991:ONE851991 OWW851991:OXA851991 PGS851991:PGW851991 PQO851991:PQS851991 QAK851991:QAO851991 QKG851991:QKK851991 QUC851991:QUG851991 RDY851991:REC851991 RNU851991:RNY851991 RXQ851991:RXU851991 SHM851991:SHQ851991 SRI851991:SRM851991 TBE851991:TBI851991 TLA851991:TLE851991 TUW851991:TVA851991 UES851991:UEW851991 UOO851991:UOS851991 UYK851991:UYO851991 VIG851991:VIK851991 VSC851991:VSG851991 WBY851991:WCC851991 WLU851991:WLY851991 WVQ851991:WVU851991 I917525:M917525 JE917527:JI917527 TA917527:TE917527 ACW917527:ADA917527 AMS917527:AMW917527 AWO917527:AWS917527 BGK917527:BGO917527 BQG917527:BQK917527 CAC917527:CAG917527 CJY917527:CKC917527 CTU917527:CTY917527 DDQ917527:DDU917527 DNM917527:DNQ917527 DXI917527:DXM917527 EHE917527:EHI917527 ERA917527:ERE917527 FAW917527:FBA917527 FKS917527:FKW917527 FUO917527:FUS917527 GEK917527:GEO917527 GOG917527:GOK917527 GYC917527:GYG917527 HHY917527:HIC917527 HRU917527:HRY917527 IBQ917527:IBU917527 ILM917527:ILQ917527 IVI917527:IVM917527 JFE917527:JFI917527 JPA917527:JPE917527 JYW917527:JZA917527 KIS917527:KIW917527 KSO917527:KSS917527 LCK917527:LCO917527 LMG917527:LMK917527 LWC917527:LWG917527 MFY917527:MGC917527 MPU917527:MPY917527 MZQ917527:MZU917527 NJM917527:NJQ917527 NTI917527:NTM917527 ODE917527:ODI917527 ONA917527:ONE917527 OWW917527:OXA917527 PGS917527:PGW917527 PQO917527:PQS917527 QAK917527:QAO917527 QKG917527:QKK917527 QUC917527:QUG917527 RDY917527:REC917527 RNU917527:RNY917527 RXQ917527:RXU917527 SHM917527:SHQ917527 SRI917527:SRM917527 TBE917527:TBI917527 TLA917527:TLE917527 TUW917527:TVA917527 UES917527:UEW917527 UOO917527:UOS917527 UYK917527:UYO917527 VIG917527:VIK917527 VSC917527:VSG917527 WBY917527:WCC917527 WLU917527:WLY917527 WVQ917527:WVU917527 I983061:M983061 JE983063:JI983063 TA983063:TE983063 ACW983063:ADA983063 AMS983063:AMW983063 AWO983063:AWS983063 BGK983063:BGO983063 BQG983063:BQK983063 CAC983063:CAG983063 CJY983063:CKC983063 CTU983063:CTY983063 DDQ983063:DDU983063 DNM983063:DNQ983063 DXI983063:DXM983063 EHE983063:EHI983063 ERA983063:ERE983063 FAW983063:FBA983063 FKS983063:FKW983063 FUO983063:FUS983063 GEK983063:GEO983063 GOG983063:GOK983063 GYC983063:GYG983063 HHY983063:HIC983063 HRU983063:HRY983063 IBQ983063:IBU983063 ILM983063:ILQ983063 IVI983063:IVM983063 JFE983063:JFI983063 JPA983063:JPE983063 JYW983063:JZA983063 KIS983063:KIW983063 KSO983063:KSS983063 LCK983063:LCO983063 LMG983063:LMK983063 LWC983063:LWG983063 MFY983063:MGC983063 MPU983063:MPY983063 MZQ983063:MZU983063 NJM983063:NJQ983063 NTI983063:NTM983063 ODE983063:ODI983063 ONA983063:ONE983063 OWW983063:OXA983063 PGS983063:PGW983063 PQO983063:PQS983063 QAK983063:QAO983063 QKG983063:QKK983063 QUC983063:QUG983063 RDY983063:REC983063 RNU983063:RNY983063 RXQ983063:RXU983063 SHM983063:SHQ983063 SRI983063:SRM983063 TBE983063:TBI983063 TLA983063:TLE983063 TUW983063:TVA983063 UES983063:UEW983063 UOO983063:UOS983063 UYK983063:UYO983063 VIG983063:VIK983063 VSC983063:VSG983063 WBY983063:WCC983063 WLU983063:WLY983063 WVQ983063:WVU983063 WBY983080:WCC983080 JE40:JI40 TA40:TE40 ACW40:ADA40 AMS40:AMW40 AWO40:AWS40 BGK40:BGO40 BQG40:BQK40 CAC40:CAG40 CJY40:CKC40 CTU40:CTY40 DDQ40:DDU40 DNM40:DNQ40 DXI40:DXM40 EHE40:EHI40 ERA40:ERE40 FAW40:FBA40 FKS40:FKW40 FUO40:FUS40 GEK40:GEO40 GOG40:GOK40 GYC40:GYG40 HHY40:HIC40 HRU40:HRY40 IBQ40:IBU40 ILM40:ILQ40 IVI40:IVM40 JFE40:JFI40 JPA40:JPE40 JYW40:JZA40 KIS40:KIW40 KSO40:KSS40 LCK40:LCO40 LMG40:LMK40 LWC40:LWG40 MFY40:MGC40 MPU40:MPY40 MZQ40:MZU40 NJM40:NJQ40 NTI40:NTM40 ODE40:ODI40 ONA40:ONE40 OWW40:OXA40 PGS40:PGW40 PQO40:PQS40 QAK40:QAO40 QKG40:QKK40 QUC40:QUG40 RDY40:REC40 RNU40:RNY40 RXQ40:RXU40 SHM40:SHQ40 SRI40:SRM40 TBE40:TBI40 TLA40:TLE40 TUW40:TVA40 UES40:UEW40 UOO40:UOS40 UYK40:UYO40 VIG40:VIK40 VSC40:VSG40 WBY40:WCC40 WLU40:WLY40 WVQ40:WVU40 I65574:M65574 JE65576:JI65576 TA65576:TE65576 ACW65576:ADA65576 AMS65576:AMW65576 AWO65576:AWS65576 BGK65576:BGO65576 BQG65576:BQK65576 CAC65576:CAG65576 CJY65576:CKC65576 CTU65576:CTY65576 DDQ65576:DDU65576 DNM65576:DNQ65576 DXI65576:DXM65576 EHE65576:EHI65576 ERA65576:ERE65576 FAW65576:FBA65576 FKS65576:FKW65576 FUO65576:FUS65576 GEK65576:GEO65576 GOG65576:GOK65576 GYC65576:GYG65576 HHY65576:HIC65576 HRU65576:HRY65576 IBQ65576:IBU65576 ILM65576:ILQ65576 IVI65576:IVM65576 JFE65576:JFI65576 JPA65576:JPE65576 JYW65576:JZA65576 KIS65576:KIW65576 KSO65576:KSS65576 LCK65576:LCO65576 LMG65576:LMK65576 LWC65576:LWG65576 MFY65576:MGC65576 MPU65576:MPY65576 MZQ65576:MZU65576 NJM65576:NJQ65576 NTI65576:NTM65576 ODE65576:ODI65576 ONA65576:ONE65576 OWW65576:OXA65576 PGS65576:PGW65576 PQO65576:PQS65576 QAK65576:QAO65576 QKG65576:QKK65576 QUC65576:QUG65576 RDY65576:REC65576 RNU65576:RNY65576 RXQ65576:RXU65576 SHM65576:SHQ65576 SRI65576:SRM65576 TBE65576:TBI65576 TLA65576:TLE65576 TUW65576:TVA65576 UES65576:UEW65576 UOO65576:UOS65576 UYK65576:UYO65576 VIG65576:VIK65576 VSC65576:VSG65576 WBY65576:WCC65576 WLU65576:WLY65576 WVQ65576:WVU65576 I131110:M131110 JE131112:JI131112 TA131112:TE131112 ACW131112:ADA131112 AMS131112:AMW131112 AWO131112:AWS131112 BGK131112:BGO131112 BQG131112:BQK131112 CAC131112:CAG131112 CJY131112:CKC131112 CTU131112:CTY131112 DDQ131112:DDU131112 DNM131112:DNQ131112 DXI131112:DXM131112 EHE131112:EHI131112 ERA131112:ERE131112 FAW131112:FBA131112 FKS131112:FKW131112 FUO131112:FUS131112 GEK131112:GEO131112 GOG131112:GOK131112 GYC131112:GYG131112 HHY131112:HIC131112 HRU131112:HRY131112 IBQ131112:IBU131112 ILM131112:ILQ131112 IVI131112:IVM131112 JFE131112:JFI131112 JPA131112:JPE131112 JYW131112:JZA131112 KIS131112:KIW131112 KSO131112:KSS131112 LCK131112:LCO131112 LMG131112:LMK131112 LWC131112:LWG131112 MFY131112:MGC131112 MPU131112:MPY131112 MZQ131112:MZU131112 NJM131112:NJQ131112 NTI131112:NTM131112 ODE131112:ODI131112 ONA131112:ONE131112 OWW131112:OXA131112 PGS131112:PGW131112 PQO131112:PQS131112 QAK131112:QAO131112 QKG131112:QKK131112 QUC131112:QUG131112 RDY131112:REC131112 RNU131112:RNY131112 RXQ131112:RXU131112 SHM131112:SHQ131112 SRI131112:SRM131112 TBE131112:TBI131112 TLA131112:TLE131112 TUW131112:TVA131112 UES131112:UEW131112 UOO131112:UOS131112 UYK131112:UYO131112 VIG131112:VIK131112 VSC131112:VSG131112 WBY131112:WCC131112 WLU131112:WLY131112 WVQ131112:WVU131112 I196646:M196646 JE196648:JI196648 TA196648:TE196648 ACW196648:ADA196648 AMS196648:AMW196648 AWO196648:AWS196648 BGK196648:BGO196648 BQG196648:BQK196648 CAC196648:CAG196648 CJY196648:CKC196648 CTU196648:CTY196648 DDQ196648:DDU196648 DNM196648:DNQ196648 DXI196648:DXM196648 EHE196648:EHI196648 ERA196648:ERE196648 FAW196648:FBA196648 FKS196648:FKW196648 FUO196648:FUS196648 GEK196648:GEO196648 GOG196648:GOK196648 GYC196648:GYG196648 HHY196648:HIC196648 HRU196648:HRY196648 IBQ196648:IBU196648 ILM196648:ILQ196648 IVI196648:IVM196648 JFE196648:JFI196648 JPA196648:JPE196648 JYW196648:JZA196648 KIS196648:KIW196648 KSO196648:KSS196648 LCK196648:LCO196648 LMG196648:LMK196648 LWC196648:LWG196648 MFY196648:MGC196648 MPU196648:MPY196648 MZQ196648:MZU196648 NJM196648:NJQ196648 NTI196648:NTM196648 ODE196648:ODI196648 ONA196648:ONE196648 OWW196648:OXA196648 PGS196648:PGW196648 PQO196648:PQS196648 QAK196648:QAO196648 QKG196648:QKK196648 QUC196648:QUG196648 RDY196648:REC196648 RNU196648:RNY196648 RXQ196648:RXU196648 SHM196648:SHQ196648 SRI196648:SRM196648 TBE196648:TBI196648 TLA196648:TLE196648 TUW196648:TVA196648 UES196648:UEW196648 UOO196648:UOS196648 UYK196648:UYO196648 VIG196648:VIK196648 VSC196648:VSG196648 WBY196648:WCC196648 WLU196648:WLY196648 WVQ196648:WVU196648 I262182:M262182 JE262184:JI262184 TA262184:TE262184 ACW262184:ADA262184 AMS262184:AMW262184 AWO262184:AWS262184 BGK262184:BGO262184 BQG262184:BQK262184 CAC262184:CAG262184 CJY262184:CKC262184 CTU262184:CTY262184 DDQ262184:DDU262184 DNM262184:DNQ262184 DXI262184:DXM262184 EHE262184:EHI262184 ERA262184:ERE262184 FAW262184:FBA262184 FKS262184:FKW262184 FUO262184:FUS262184 GEK262184:GEO262184 GOG262184:GOK262184 GYC262184:GYG262184 HHY262184:HIC262184 HRU262184:HRY262184 IBQ262184:IBU262184 ILM262184:ILQ262184 IVI262184:IVM262184 JFE262184:JFI262184 JPA262184:JPE262184 JYW262184:JZA262184 KIS262184:KIW262184 KSO262184:KSS262184 LCK262184:LCO262184 LMG262184:LMK262184 LWC262184:LWG262184 MFY262184:MGC262184 MPU262184:MPY262184 MZQ262184:MZU262184 NJM262184:NJQ262184 NTI262184:NTM262184 ODE262184:ODI262184 ONA262184:ONE262184 OWW262184:OXA262184 PGS262184:PGW262184 PQO262184:PQS262184 QAK262184:QAO262184 QKG262184:QKK262184 QUC262184:QUG262184 RDY262184:REC262184 RNU262184:RNY262184 RXQ262184:RXU262184 SHM262184:SHQ262184 SRI262184:SRM262184 TBE262184:TBI262184 TLA262184:TLE262184 TUW262184:TVA262184 UES262184:UEW262184 UOO262184:UOS262184 UYK262184:UYO262184 VIG262184:VIK262184 VSC262184:VSG262184 WBY262184:WCC262184 WLU262184:WLY262184 WVQ262184:WVU262184 I327718:M327718 JE327720:JI327720 TA327720:TE327720 ACW327720:ADA327720 AMS327720:AMW327720 AWO327720:AWS327720 BGK327720:BGO327720 BQG327720:BQK327720 CAC327720:CAG327720 CJY327720:CKC327720 CTU327720:CTY327720 DDQ327720:DDU327720 DNM327720:DNQ327720 DXI327720:DXM327720 EHE327720:EHI327720 ERA327720:ERE327720 FAW327720:FBA327720 FKS327720:FKW327720 FUO327720:FUS327720 GEK327720:GEO327720 GOG327720:GOK327720 GYC327720:GYG327720 HHY327720:HIC327720 HRU327720:HRY327720 IBQ327720:IBU327720 ILM327720:ILQ327720 IVI327720:IVM327720 JFE327720:JFI327720 JPA327720:JPE327720 JYW327720:JZA327720 KIS327720:KIW327720 KSO327720:KSS327720 LCK327720:LCO327720 LMG327720:LMK327720 LWC327720:LWG327720 MFY327720:MGC327720 MPU327720:MPY327720 MZQ327720:MZU327720 NJM327720:NJQ327720 NTI327720:NTM327720 ODE327720:ODI327720 ONA327720:ONE327720 OWW327720:OXA327720 PGS327720:PGW327720 PQO327720:PQS327720 QAK327720:QAO327720 QKG327720:QKK327720 QUC327720:QUG327720 RDY327720:REC327720 RNU327720:RNY327720 RXQ327720:RXU327720 SHM327720:SHQ327720 SRI327720:SRM327720 TBE327720:TBI327720 TLA327720:TLE327720 TUW327720:TVA327720 UES327720:UEW327720 UOO327720:UOS327720 UYK327720:UYO327720 VIG327720:VIK327720 VSC327720:VSG327720 WBY327720:WCC327720 WLU327720:WLY327720 WVQ327720:WVU327720 I393254:M393254 JE393256:JI393256 TA393256:TE393256 ACW393256:ADA393256 AMS393256:AMW393256 AWO393256:AWS393256 BGK393256:BGO393256 BQG393256:BQK393256 CAC393256:CAG393256 CJY393256:CKC393256 CTU393256:CTY393256 DDQ393256:DDU393256 DNM393256:DNQ393256 DXI393256:DXM393256 EHE393256:EHI393256 ERA393256:ERE393256 FAW393256:FBA393256 FKS393256:FKW393256 FUO393256:FUS393256 GEK393256:GEO393256 GOG393256:GOK393256 GYC393256:GYG393256 HHY393256:HIC393256 HRU393256:HRY393256 IBQ393256:IBU393256 ILM393256:ILQ393256 IVI393256:IVM393256 JFE393256:JFI393256 JPA393256:JPE393256 JYW393256:JZA393256 KIS393256:KIW393256 KSO393256:KSS393256 LCK393256:LCO393256 LMG393256:LMK393256 LWC393256:LWG393256 MFY393256:MGC393256 MPU393256:MPY393256 MZQ393256:MZU393256 NJM393256:NJQ393256 NTI393256:NTM393256 ODE393256:ODI393256 ONA393256:ONE393256 OWW393256:OXA393256 PGS393256:PGW393256 PQO393256:PQS393256 QAK393256:QAO393256 QKG393256:QKK393256 QUC393256:QUG393256 RDY393256:REC393256 RNU393256:RNY393256 RXQ393256:RXU393256 SHM393256:SHQ393256 SRI393256:SRM393256 TBE393256:TBI393256 TLA393256:TLE393256 TUW393256:TVA393256 UES393256:UEW393256 UOO393256:UOS393256 UYK393256:UYO393256 VIG393256:VIK393256 VSC393256:VSG393256 WBY393256:WCC393256 WLU393256:WLY393256 WVQ393256:WVU393256 I458790:M458790 JE458792:JI458792 TA458792:TE458792 ACW458792:ADA458792 AMS458792:AMW458792 AWO458792:AWS458792 BGK458792:BGO458792 BQG458792:BQK458792 CAC458792:CAG458792 CJY458792:CKC458792 CTU458792:CTY458792 DDQ458792:DDU458792 DNM458792:DNQ458792 DXI458792:DXM458792 EHE458792:EHI458792 ERA458792:ERE458792 FAW458792:FBA458792 FKS458792:FKW458792 FUO458792:FUS458792 GEK458792:GEO458792 GOG458792:GOK458792 GYC458792:GYG458792 HHY458792:HIC458792 HRU458792:HRY458792 IBQ458792:IBU458792 ILM458792:ILQ458792 IVI458792:IVM458792 JFE458792:JFI458792 JPA458792:JPE458792 JYW458792:JZA458792 KIS458792:KIW458792 KSO458792:KSS458792 LCK458792:LCO458792 LMG458792:LMK458792 LWC458792:LWG458792 MFY458792:MGC458792 MPU458792:MPY458792 MZQ458792:MZU458792 NJM458792:NJQ458792 NTI458792:NTM458792 ODE458792:ODI458792 ONA458792:ONE458792 OWW458792:OXA458792 PGS458792:PGW458792 PQO458792:PQS458792 QAK458792:QAO458792 QKG458792:QKK458792 QUC458792:QUG458792 RDY458792:REC458792 RNU458792:RNY458792 RXQ458792:RXU458792 SHM458792:SHQ458792 SRI458792:SRM458792 TBE458792:TBI458792 TLA458792:TLE458792 TUW458792:TVA458792 UES458792:UEW458792 UOO458792:UOS458792 UYK458792:UYO458792 VIG458792:VIK458792 VSC458792:VSG458792 WBY458792:WCC458792 WLU458792:WLY458792 WVQ458792:WVU458792 I524326:M524326 JE524328:JI524328 TA524328:TE524328 ACW524328:ADA524328 AMS524328:AMW524328 AWO524328:AWS524328 BGK524328:BGO524328 BQG524328:BQK524328 CAC524328:CAG524328 CJY524328:CKC524328 CTU524328:CTY524328 DDQ524328:DDU524328 DNM524328:DNQ524328 DXI524328:DXM524328 EHE524328:EHI524328 ERA524328:ERE524328 FAW524328:FBA524328 FKS524328:FKW524328 FUO524328:FUS524328 GEK524328:GEO524328 GOG524328:GOK524328 GYC524328:GYG524328 HHY524328:HIC524328 HRU524328:HRY524328 IBQ524328:IBU524328 ILM524328:ILQ524328 IVI524328:IVM524328 JFE524328:JFI524328 JPA524328:JPE524328 JYW524328:JZA524328 KIS524328:KIW524328 KSO524328:KSS524328 LCK524328:LCO524328 LMG524328:LMK524328 LWC524328:LWG524328 MFY524328:MGC524328 MPU524328:MPY524328 MZQ524328:MZU524328 NJM524328:NJQ524328 NTI524328:NTM524328 ODE524328:ODI524328 ONA524328:ONE524328 OWW524328:OXA524328 PGS524328:PGW524328 PQO524328:PQS524328 QAK524328:QAO524328 QKG524328:QKK524328 QUC524328:QUG524328 RDY524328:REC524328 RNU524328:RNY524328 RXQ524328:RXU524328 SHM524328:SHQ524328 SRI524328:SRM524328 TBE524328:TBI524328 TLA524328:TLE524328 TUW524328:TVA524328 UES524328:UEW524328 UOO524328:UOS524328 UYK524328:UYO524328 VIG524328:VIK524328 VSC524328:VSG524328 WBY524328:WCC524328 WLU524328:WLY524328 WVQ524328:WVU524328 I589862:M589862 JE589864:JI589864 TA589864:TE589864 ACW589864:ADA589864 AMS589864:AMW589864 AWO589864:AWS589864 BGK589864:BGO589864 BQG589864:BQK589864 CAC589864:CAG589864 CJY589864:CKC589864 CTU589864:CTY589864 DDQ589864:DDU589864 DNM589864:DNQ589864 DXI589864:DXM589864 EHE589864:EHI589864 ERA589864:ERE589864 FAW589864:FBA589864 FKS589864:FKW589864 FUO589864:FUS589864 GEK589864:GEO589864 GOG589864:GOK589864 GYC589864:GYG589864 HHY589864:HIC589864 HRU589864:HRY589864 IBQ589864:IBU589864 ILM589864:ILQ589864 IVI589864:IVM589864 JFE589864:JFI589864 JPA589864:JPE589864 JYW589864:JZA589864 KIS589864:KIW589864 KSO589864:KSS589864 LCK589864:LCO589864 LMG589864:LMK589864 LWC589864:LWG589864 MFY589864:MGC589864 MPU589864:MPY589864 MZQ589864:MZU589864 NJM589864:NJQ589864 NTI589864:NTM589864 ODE589864:ODI589864 ONA589864:ONE589864 OWW589864:OXA589864 PGS589864:PGW589864 PQO589864:PQS589864 QAK589864:QAO589864 QKG589864:QKK589864 QUC589864:QUG589864 RDY589864:REC589864 RNU589864:RNY589864 RXQ589864:RXU589864 SHM589864:SHQ589864 SRI589864:SRM589864 TBE589864:TBI589864 TLA589864:TLE589864 TUW589864:TVA589864 UES589864:UEW589864 UOO589864:UOS589864 UYK589864:UYO589864 VIG589864:VIK589864 VSC589864:VSG589864 WBY589864:WCC589864 WLU589864:WLY589864 WVQ589864:WVU589864 I655398:M655398 JE655400:JI655400 TA655400:TE655400 ACW655400:ADA655400 AMS655400:AMW655400 AWO655400:AWS655400 BGK655400:BGO655400 BQG655400:BQK655400 CAC655400:CAG655400 CJY655400:CKC655400 CTU655400:CTY655400 DDQ655400:DDU655400 DNM655400:DNQ655400 DXI655400:DXM655400 EHE655400:EHI655400 ERA655400:ERE655400 FAW655400:FBA655400 FKS655400:FKW655400 FUO655400:FUS655400 GEK655400:GEO655400 GOG655400:GOK655400 GYC655400:GYG655400 HHY655400:HIC655400 HRU655400:HRY655400 IBQ655400:IBU655400 ILM655400:ILQ655400 IVI655400:IVM655400 JFE655400:JFI655400 JPA655400:JPE655400 JYW655400:JZA655400 KIS655400:KIW655400 KSO655400:KSS655400 LCK655400:LCO655400 LMG655400:LMK655400 LWC655400:LWG655400 MFY655400:MGC655400 MPU655400:MPY655400 MZQ655400:MZU655400 NJM655400:NJQ655400 NTI655400:NTM655400 ODE655400:ODI655400 ONA655400:ONE655400 OWW655400:OXA655400 PGS655400:PGW655400 PQO655400:PQS655400 QAK655400:QAO655400 QKG655400:QKK655400 QUC655400:QUG655400 RDY655400:REC655400 RNU655400:RNY655400 RXQ655400:RXU655400 SHM655400:SHQ655400 SRI655400:SRM655400 TBE655400:TBI655400 TLA655400:TLE655400 TUW655400:TVA655400 UES655400:UEW655400 UOO655400:UOS655400 UYK655400:UYO655400 VIG655400:VIK655400 VSC655400:VSG655400 WBY655400:WCC655400 WLU655400:WLY655400 WVQ655400:WVU655400 I720934:M720934 JE720936:JI720936 TA720936:TE720936 ACW720936:ADA720936 AMS720936:AMW720936 AWO720936:AWS720936 BGK720936:BGO720936 BQG720936:BQK720936 CAC720936:CAG720936 CJY720936:CKC720936 CTU720936:CTY720936 DDQ720936:DDU720936 DNM720936:DNQ720936 DXI720936:DXM720936 EHE720936:EHI720936 ERA720936:ERE720936 FAW720936:FBA720936 FKS720936:FKW720936 FUO720936:FUS720936 GEK720936:GEO720936 GOG720936:GOK720936 GYC720936:GYG720936 HHY720936:HIC720936 HRU720936:HRY720936 IBQ720936:IBU720936 ILM720936:ILQ720936 IVI720936:IVM720936 JFE720936:JFI720936 JPA720936:JPE720936 JYW720936:JZA720936 KIS720936:KIW720936 KSO720936:KSS720936 LCK720936:LCO720936 LMG720936:LMK720936 LWC720936:LWG720936 MFY720936:MGC720936 MPU720936:MPY720936 MZQ720936:MZU720936 NJM720936:NJQ720936 NTI720936:NTM720936 ODE720936:ODI720936 ONA720936:ONE720936 OWW720936:OXA720936 PGS720936:PGW720936 PQO720936:PQS720936 QAK720936:QAO720936 QKG720936:QKK720936 QUC720936:QUG720936 RDY720936:REC720936 RNU720936:RNY720936 RXQ720936:RXU720936 SHM720936:SHQ720936 SRI720936:SRM720936 TBE720936:TBI720936 TLA720936:TLE720936 TUW720936:TVA720936 UES720936:UEW720936 UOO720936:UOS720936 UYK720936:UYO720936 VIG720936:VIK720936 VSC720936:VSG720936 WBY720936:WCC720936 WLU720936:WLY720936 WVQ720936:WVU720936 I786470:M786470 JE786472:JI786472 TA786472:TE786472 ACW786472:ADA786472 AMS786472:AMW786472 AWO786472:AWS786472 BGK786472:BGO786472 BQG786472:BQK786472 CAC786472:CAG786472 CJY786472:CKC786472 CTU786472:CTY786472 DDQ786472:DDU786472 DNM786472:DNQ786472 DXI786472:DXM786472 EHE786472:EHI786472 ERA786472:ERE786472 FAW786472:FBA786472 FKS786472:FKW786472 FUO786472:FUS786472 GEK786472:GEO786472 GOG786472:GOK786472 GYC786472:GYG786472 HHY786472:HIC786472 HRU786472:HRY786472 IBQ786472:IBU786472 ILM786472:ILQ786472 IVI786472:IVM786472 JFE786472:JFI786472 JPA786472:JPE786472 JYW786472:JZA786472 KIS786472:KIW786472 KSO786472:KSS786472 LCK786472:LCO786472 LMG786472:LMK786472 LWC786472:LWG786472 MFY786472:MGC786472 MPU786472:MPY786472 MZQ786472:MZU786472 NJM786472:NJQ786472 NTI786472:NTM786472 ODE786472:ODI786472 ONA786472:ONE786472 OWW786472:OXA786472 PGS786472:PGW786472 PQO786472:PQS786472 QAK786472:QAO786472 QKG786472:QKK786472 QUC786472:QUG786472 RDY786472:REC786472 RNU786472:RNY786472 RXQ786472:RXU786472 SHM786472:SHQ786472 SRI786472:SRM786472 TBE786472:TBI786472 TLA786472:TLE786472 TUW786472:TVA786472 UES786472:UEW786472 UOO786472:UOS786472 UYK786472:UYO786472 VIG786472:VIK786472 VSC786472:VSG786472 WBY786472:WCC786472 WLU786472:WLY786472 WVQ786472:WVU786472 I852006:M852006 JE852008:JI852008 TA852008:TE852008 ACW852008:ADA852008 AMS852008:AMW852008 AWO852008:AWS852008 BGK852008:BGO852008 BQG852008:BQK852008 CAC852008:CAG852008 CJY852008:CKC852008 CTU852008:CTY852008 DDQ852008:DDU852008 DNM852008:DNQ852008 DXI852008:DXM852008 EHE852008:EHI852008 ERA852008:ERE852008 FAW852008:FBA852008 FKS852008:FKW852008 FUO852008:FUS852008 GEK852008:GEO852008 GOG852008:GOK852008 GYC852008:GYG852008 HHY852008:HIC852008 HRU852008:HRY852008 IBQ852008:IBU852008 ILM852008:ILQ852008 IVI852008:IVM852008 JFE852008:JFI852008 JPA852008:JPE852008 JYW852008:JZA852008 KIS852008:KIW852008 KSO852008:KSS852008 LCK852008:LCO852008 LMG852008:LMK852008 LWC852008:LWG852008 MFY852008:MGC852008 MPU852008:MPY852008 MZQ852008:MZU852008 NJM852008:NJQ852008 NTI852008:NTM852008 ODE852008:ODI852008 ONA852008:ONE852008 OWW852008:OXA852008 PGS852008:PGW852008 PQO852008:PQS852008 QAK852008:QAO852008 QKG852008:QKK852008 QUC852008:QUG852008 RDY852008:REC852008 RNU852008:RNY852008 RXQ852008:RXU852008 SHM852008:SHQ852008 SRI852008:SRM852008 TBE852008:TBI852008 TLA852008:TLE852008 TUW852008:TVA852008 UES852008:UEW852008 UOO852008:UOS852008 UYK852008:UYO852008 VIG852008:VIK852008 VSC852008:VSG852008 WBY852008:WCC852008 WLU852008:WLY852008 WVQ852008:WVU852008 I917542:M917542 JE917544:JI917544 TA917544:TE917544 ACW917544:ADA917544 AMS917544:AMW917544 AWO917544:AWS917544 BGK917544:BGO917544 BQG917544:BQK917544 CAC917544:CAG917544 CJY917544:CKC917544 CTU917544:CTY917544 DDQ917544:DDU917544 DNM917544:DNQ917544 DXI917544:DXM917544 EHE917544:EHI917544 ERA917544:ERE917544 FAW917544:FBA917544 FKS917544:FKW917544 FUO917544:FUS917544 GEK917544:GEO917544 GOG917544:GOK917544 GYC917544:GYG917544 HHY917544:HIC917544 HRU917544:HRY917544 IBQ917544:IBU917544 ILM917544:ILQ917544 IVI917544:IVM917544 JFE917544:JFI917544 JPA917544:JPE917544 JYW917544:JZA917544 KIS917544:KIW917544 KSO917544:KSS917544 LCK917544:LCO917544 LMG917544:LMK917544 LWC917544:LWG917544 MFY917544:MGC917544 MPU917544:MPY917544 MZQ917544:MZU917544 NJM917544:NJQ917544 NTI917544:NTM917544 ODE917544:ODI917544 ONA917544:ONE917544 OWW917544:OXA917544 PGS917544:PGW917544 PQO917544:PQS917544 QAK917544:QAO917544 QKG917544:QKK917544 QUC917544:QUG917544 RDY917544:REC917544 RNU917544:RNY917544 RXQ917544:RXU917544 SHM917544:SHQ917544 SRI917544:SRM917544 TBE917544:TBI917544 TLA917544:TLE917544 TUW917544:TVA917544 UES917544:UEW917544 UOO917544:UOS917544 UYK917544:UYO917544 VIG917544:VIK917544 VSC917544:VSG917544 WBY917544:WCC917544 WLU917544:WLY917544 WVQ917544:WVU917544 I983078:M983078 JE983080:JI983080 TA983080:TE983080 ACW983080:ADA983080 AMS983080:AMW983080 AWO983080:AWS983080 BGK983080:BGO983080 BQG983080:BQK983080 CAC983080:CAG983080 CJY983080:CKC983080 CTU983080:CTY983080 DDQ983080:DDU983080 DNM983080:DNQ983080 DXI983080:DXM983080 EHE983080:EHI983080 ERA983080:ERE983080 FAW983080:FBA983080 FKS983080:FKW983080 FUO983080:FUS983080 GEK983080:GEO983080 GOG983080:GOK983080 GYC983080:GYG983080 HHY983080:HIC983080 HRU983080:HRY983080 IBQ983080:IBU983080 ILM983080:ILQ983080 IVI983080:IVM983080 JFE983080:JFI983080 JPA983080:JPE983080 JYW983080:JZA983080 KIS983080:KIW983080 KSO983080:KSS983080 LCK983080:LCO983080 LMG983080:LMK983080 LWC983080:LWG983080 MFY983080:MGC983080 MPU983080:MPY983080 MZQ983080:MZU983080 NJM983080:NJQ983080 NTI983080:NTM983080 ODE983080:ODI983080 ONA983080:ONE983080 OWW983080:OXA983080 PGS983080:PGW983080 PQO983080:PQS983080 QAK983080:QAO983080 QKG983080:QKK983080 QUC983080:QUG983080 RDY983080:REC983080 RNU983080:RNY983080 RXQ983080:RXU983080 SHM983080:SHQ983080 SRI983080:SRM983080 TBE983080:TBI983080 TLA983080:TLE983080 TUW983080:TVA983080 UES983080:UEW983080 UOO983080:UOS983080 UYK983080:UYO983080 VIG983080:VIK983080 VSC983080:VSG983080">
      <formula1>"ja,nej"</formula1>
    </dataValidation>
    <dataValidation type="list" allowBlank="1" showInputMessage="1" showErrorMessage="1" sqref="I20">
      <formula1>"Mammo,Konventionel,Anden diagnostik"</formula1>
    </dataValidation>
    <dataValidation type="list" allowBlank="1" showInputMessage="1" showErrorMessage="1" sqref="I14">
      <formula1>"Modtagekontrol, Statuskontrol"</formula1>
    </dataValidation>
    <dataValidation type="list" allowBlank="1" showInputMessage="1" showErrorMessage="1" sqref="R25:V25">
      <formula1>$AI$1:$AI$4</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5"/>
  <sheetViews>
    <sheetView workbookViewId="0">
      <selection activeCell="M20" sqref="M20:X25"/>
    </sheetView>
  </sheetViews>
  <sheetFormatPr defaultRowHeight="12.75"/>
  <cols>
    <col min="1" max="24" width="4.7109375" customWidth="1"/>
  </cols>
  <sheetData>
    <row r="1" spans="1:24" ht="12.75" customHeight="1">
      <c r="A1" s="375" t="s">
        <v>126</v>
      </c>
      <c r="B1" s="376"/>
      <c r="C1" s="376"/>
      <c r="D1" s="381" t="s">
        <v>127</v>
      </c>
      <c r="E1" s="381"/>
      <c r="F1" s="381"/>
      <c r="G1" s="381"/>
      <c r="H1" s="381"/>
      <c r="I1" s="381"/>
      <c r="J1" s="381"/>
      <c r="K1" s="381"/>
      <c r="L1" s="382"/>
      <c r="M1" s="385" t="str">
        <f>IF(Oplysningsside!$I$14="","",Oplysningsside!$I$14)</f>
        <v/>
      </c>
      <c r="N1" s="386"/>
      <c r="O1" s="386"/>
      <c r="P1" s="386"/>
      <c r="Q1" s="386"/>
      <c r="R1" s="386"/>
      <c r="S1" s="386"/>
      <c r="T1" s="386"/>
      <c r="U1" s="386"/>
      <c r="V1" s="386"/>
      <c r="W1" s="386"/>
      <c r="X1" s="387"/>
    </row>
    <row r="2" spans="1:24" ht="12.75" customHeight="1">
      <c r="A2" s="377"/>
      <c r="B2" s="378"/>
      <c r="C2" s="378"/>
      <c r="D2" s="383"/>
      <c r="E2" s="383"/>
      <c r="F2" s="383"/>
      <c r="G2" s="383"/>
      <c r="H2" s="383"/>
      <c r="I2" s="383"/>
      <c r="J2" s="383"/>
      <c r="K2" s="383"/>
      <c r="L2" s="384"/>
      <c r="M2" s="388"/>
      <c r="N2" s="389"/>
      <c r="O2" s="389"/>
      <c r="P2" s="389"/>
      <c r="Q2" s="389"/>
      <c r="R2" s="389"/>
      <c r="S2" s="389"/>
      <c r="T2" s="389"/>
      <c r="U2" s="389"/>
      <c r="V2" s="389"/>
      <c r="W2" s="389"/>
      <c r="X2" s="390"/>
    </row>
    <row r="3" spans="1:24" ht="16.5" customHeight="1" thickBot="1">
      <c r="A3" s="379"/>
      <c r="B3" s="380"/>
      <c r="C3" s="380"/>
      <c r="D3" s="391" t="s">
        <v>128</v>
      </c>
      <c r="E3" s="391"/>
      <c r="F3" s="391"/>
      <c r="G3" s="391"/>
      <c r="H3" s="391"/>
      <c r="I3" s="391"/>
      <c r="J3" s="391"/>
      <c r="K3" s="391"/>
      <c r="L3" s="392"/>
      <c r="M3" s="393" t="str">
        <f>IF(Oplysningsside!$I$14="","","for diagnostiske monitorer")</f>
        <v/>
      </c>
      <c r="N3" s="394"/>
      <c r="O3" s="394"/>
      <c r="P3" s="394"/>
      <c r="Q3" s="394"/>
      <c r="R3" s="394"/>
      <c r="S3" s="394"/>
      <c r="T3" s="394"/>
      <c r="U3" s="394"/>
      <c r="V3" s="394"/>
      <c r="W3" s="394"/>
      <c r="X3" s="395"/>
    </row>
    <row r="4" spans="1:24" ht="16.5" thickBot="1">
      <c r="A4" s="407" t="s">
        <v>50</v>
      </c>
      <c r="B4" s="408"/>
      <c r="C4" s="408"/>
      <c r="D4" s="408"/>
      <c r="E4" s="408"/>
      <c r="F4" s="408"/>
      <c r="G4" s="408"/>
      <c r="H4" s="408"/>
      <c r="I4" s="408"/>
      <c r="J4" s="408"/>
      <c r="K4" s="408"/>
      <c r="L4" s="409"/>
      <c r="M4" s="413" t="s">
        <v>69</v>
      </c>
      <c r="N4" s="414"/>
      <c r="O4" s="415"/>
      <c r="P4" s="416" t="str">
        <f>IF(Oplysningsside!$I$17="","",Oplysningsside!$I$17)</f>
        <v/>
      </c>
      <c r="Q4" s="416"/>
      <c r="R4" s="416"/>
      <c r="S4" s="416"/>
      <c r="T4" s="417"/>
      <c r="U4" s="515" t="s">
        <v>70</v>
      </c>
      <c r="V4" s="516"/>
      <c r="W4" s="517" t="str">
        <f>IF(Oplysningsside!$I$18="","",Oplysningsside!$I$18)</f>
        <v/>
      </c>
      <c r="X4" s="518"/>
    </row>
    <row r="5" spans="1:24" ht="13.5" customHeight="1" thickBot="1">
      <c r="A5" s="396" t="str">
        <f>IF(Oplysningsside!$I$16="","",Oplysningsside!$I$16)</f>
        <v/>
      </c>
      <c r="B5" s="397"/>
      <c r="C5" s="397"/>
      <c r="D5" s="397"/>
      <c r="E5" s="397"/>
      <c r="F5" s="397"/>
      <c r="G5" s="397"/>
      <c r="H5" s="397"/>
      <c r="I5" s="397"/>
      <c r="J5" s="397"/>
      <c r="K5" s="397"/>
      <c r="L5" s="398"/>
      <c r="M5" s="410" t="s">
        <v>159</v>
      </c>
      <c r="N5" s="402"/>
      <c r="O5" s="403"/>
      <c r="P5" s="411" t="str">
        <f>IF(Oplysningsside!$R$27="","",Oplysningsside!$R$27)</f>
        <v/>
      </c>
      <c r="Q5" s="411"/>
      <c r="R5" s="411"/>
      <c r="S5" s="411"/>
      <c r="T5" s="411"/>
      <c r="U5" s="411"/>
      <c r="V5" s="411"/>
      <c r="W5" s="411"/>
      <c r="X5" s="412"/>
    </row>
    <row r="6" spans="1:24" ht="13.5" customHeight="1" thickBot="1">
      <c r="A6" s="399"/>
      <c r="B6" s="400"/>
      <c r="C6" s="400"/>
      <c r="D6" s="400"/>
      <c r="E6" s="400"/>
      <c r="F6" s="400"/>
      <c r="G6" s="400"/>
      <c r="H6" s="400"/>
      <c r="I6" s="400"/>
      <c r="J6" s="400"/>
      <c r="K6" s="400"/>
      <c r="L6" s="401"/>
      <c r="M6" s="402" t="s">
        <v>129</v>
      </c>
      <c r="N6" s="402"/>
      <c r="O6" s="403"/>
      <c r="P6" s="404">
        <f>IF(Oplysningsside!$I$15="dd-mm-åå","",Oplysningsside!$I$15)</f>
        <v>0</v>
      </c>
      <c r="Q6" s="405"/>
      <c r="R6" s="405"/>
      <c r="S6" s="405"/>
      <c r="T6" s="405"/>
      <c r="U6" s="405"/>
      <c r="V6" s="405"/>
      <c r="W6" s="405"/>
      <c r="X6" s="406"/>
    </row>
    <row r="8" spans="1:24" ht="13.5" thickBot="1"/>
    <row r="9" spans="1:24" ht="13.5" thickBot="1">
      <c r="A9" s="253" t="s">
        <v>47</v>
      </c>
      <c r="B9" s="254"/>
      <c r="C9" s="255"/>
      <c r="L9" s="36"/>
      <c r="M9" s="253" t="s">
        <v>118</v>
      </c>
      <c r="N9" s="254"/>
      <c r="O9" s="254"/>
      <c r="P9" s="255"/>
    </row>
    <row r="10" spans="1:24">
      <c r="A10" s="56" t="s">
        <v>160</v>
      </c>
      <c r="B10" s="56"/>
      <c r="C10" s="58"/>
      <c r="D10" s="58"/>
      <c r="E10" s="58"/>
      <c r="F10" s="58"/>
      <c r="G10" s="59"/>
      <c r="H10" s="519"/>
      <c r="I10" s="520"/>
      <c r="J10" s="520"/>
      <c r="K10" s="521"/>
      <c r="L10" s="36"/>
      <c r="M10" s="525"/>
      <c r="N10" s="534"/>
      <c r="O10" s="534"/>
      <c r="P10" s="534"/>
      <c r="Q10" s="534"/>
      <c r="R10" s="534"/>
      <c r="S10" s="534"/>
      <c r="T10" s="534"/>
      <c r="U10" s="534"/>
      <c r="V10" s="534"/>
      <c r="W10" s="534"/>
      <c r="X10" s="535"/>
    </row>
    <row r="11" spans="1:24" ht="13.5" thickBot="1">
      <c r="A11" s="67" t="s">
        <v>161</v>
      </c>
      <c r="B11" s="67"/>
      <c r="C11" s="68"/>
      <c r="D11" s="68"/>
      <c r="E11" s="68"/>
      <c r="F11" s="68"/>
      <c r="G11" s="69"/>
      <c r="H11" s="522">
        <f>Oplysningsside!R43</f>
        <v>50</v>
      </c>
      <c r="I11" s="523"/>
      <c r="J11" s="523"/>
      <c r="K11" s="524"/>
      <c r="L11" s="36"/>
      <c r="M11" s="536"/>
      <c r="N11" s="537"/>
      <c r="O11" s="537"/>
      <c r="P11" s="537"/>
      <c r="Q11" s="537"/>
      <c r="R11" s="537"/>
      <c r="S11" s="537"/>
      <c r="T11" s="537"/>
      <c r="U11" s="537"/>
      <c r="V11" s="537"/>
      <c r="W11" s="537"/>
      <c r="X11" s="538"/>
    </row>
    <row r="12" spans="1:24" s="36" customFormat="1">
      <c r="M12" s="536"/>
      <c r="N12" s="537"/>
      <c r="O12" s="537"/>
      <c r="P12" s="537"/>
      <c r="Q12" s="537"/>
      <c r="R12" s="537"/>
      <c r="S12" s="537"/>
      <c r="T12" s="537"/>
      <c r="U12" s="537"/>
      <c r="V12" s="537"/>
      <c r="W12" s="537"/>
      <c r="X12" s="538"/>
    </row>
    <row r="13" spans="1:24" s="36" customFormat="1">
      <c r="M13" s="536"/>
      <c r="N13" s="537"/>
      <c r="O13" s="537"/>
      <c r="P13" s="537"/>
      <c r="Q13" s="537"/>
      <c r="R13" s="537"/>
      <c r="S13" s="537"/>
      <c r="T13" s="537"/>
      <c r="U13" s="537"/>
      <c r="V13" s="537"/>
      <c r="W13" s="537"/>
      <c r="X13" s="538"/>
    </row>
    <row r="14" spans="1:24" s="36" customFormat="1">
      <c r="M14" s="536"/>
      <c r="N14" s="537"/>
      <c r="O14" s="537"/>
      <c r="P14" s="537"/>
      <c r="Q14" s="537"/>
      <c r="R14" s="537"/>
      <c r="S14" s="537"/>
      <c r="T14" s="537"/>
      <c r="U14" s="537"/>
      <c r="V14" s="537"/>
      <c r="W14" s="537"/>
      <c r="X14" s="538"/>
    </row>
    <row r="15" spans="1:24" s="36" customFormat="1" ht="13.5" thickBot="1">
      <c r="M15" s="539"/>
      <c r="N15" s="540"/>
      <c r="O15" s="540"/>
      <c r="P15" s="540"/>
      <c r="Q15" s="540"/>
      <c r="R15" s="540"/>
      <c r="S15" s="540"/>
      <c r="T15" s="540"/>
      <c r="U15" s="540"/>
      <c r="V15" s="540"/>
      <c r="W15" s="540"/>
      <c r="X15" s="541"/>
    </row>
    <row r="16" spans="1:24" s="36" customFormat="1"/>
    <row r="17" spans="1:24" s="36" customFormat="1"/>
    <row r="18" spans="1:24" s="36" customFormat="1" ht="13.5" thickBot="1"/>
    <row r="19" spans="1:24" s="36" customFormat="1" ht="13.5" thickBot="1">
      <c r="A19" s="253" t="s">
        <v>48</v>
      </c>
      <c r="B19" s="254"/>
      <c r="C19" s="255"/>
      <c r="M19" s="253" t="s">
        <v>118</v>
      </c>
      <c r="N19" s="254"/>
      <c r="O19" s="254"/>
      <c r="P19" s="255"/>
    </row>
    <row r="20" spans="1:24" s="36" customFormat="1">
      <c r="A20" s="56" t="s">
        <v>160</v>
      </c>
      <c r="B20" s="58"/>
      <c r="C20" s="58"/>
      <c r="D20" s="58"/>
      <c r="E20" s="58"/>
      <c r="F20" s="58"/>
      <c r="G20" s="59"/>
      <c r="H20" s="519"/>
      <c r="I20" s="520"/>
      <c r="J20" s="520"/>
      <c r="K20" s="521"/>
      <c r="M20" s="525"/>
      <c r="N20" s="526"/>
      <c r="O20" s="526"/>
      <c r="P20" s="526"/>
      <c r="Q20" s="526"/>
      <c r="R20" s="526"/>
      <c r="S20" s="526"/>
      <c r="T20" s="526"/>
      <c r="U20" s="526"/>
      <c r="V20" s="526"/>
      <c r="W20" s="526"/>
      <c r="X20" s="527"/>
    </row>
    <row r="21" spans="1:24" s="36" customFormat="1" ht="13.5" thickBot="1">
      <c r="A21" s="67" t="s">
        <v>161</v>
      </c>
      <c r="B21" s="68"/>
      <c r="C21" s="68"/>
      <c r="D21" s="68"/>
      <c r="E21" s="68"/>
      <c r="F21" s="68"/>
      <c r="G21" s="69"/>
      <c r="H21" s="522">
        <f>Oplysningsside!R43</f>
        <v>50</v>
      </c>
      <c r="I21" s="523"/>
      <c r="J21" s="523"/>
      <c r="K21" s="524"/>
      <c r="M21" s="528"/>
      <c r="N21" s="529"/>
      <c r="O21" s="529"/>
      <c r="P21" s="529"/>
      <c r="Q21" s="529"/>
      <c r="R21" s="529"/>
      <c r="S21" s="529"/>
      <c r="T21" s="529"/>
      <c r="U21" s="529"/>
      <c r="V21" s="529"/>
      <c r="W21" s="529"/>
      <c r="X21" s="530"/>
    </row>
    <row r="22" spans="1:24" s="36" customFormat="1">
      <c r="M22" s="528"/>
      <c r="N22" s="529"/>
      <c r="O22" s="529"/>
      <c r="P22" s="529"/>
      <c r="Q22" s="529"/>
      <c r="R22" s="529"/>
      <c r="S22" s="529"/>
      <c r="T22" s="529"/>
      <c r="U22" s="529"/>
      <c r="V22" s="529"/>
      <c r="W22" s="529"/>
      <c r="X22" s="530"/>
    </row>
    <row r="23" spans="1:24">
      <c r="L23" s="36"/>
      <c r="M23" s="528"/>
      <c r="N23" s="529"/>
      <c r="O23" s="529"/>
      <c r="P23" s="529"/>
      <c r="Q23" s="529"/>
      <c r="R23" s="529"/>
      <c r="S23" s="529"/>
      <c r="T23" s="529"/>
      <c r="U23" s="529"/>
      <c r="V23" s="529"/>
      <c r="W23" s="529"/>
      <c r="X23" s="530"/>
    </row>
    <row r="24" spans="1:24">
      <c r="L24" s="36"/>
      <c r="M24" s="528"/>
      <c r="N24" s="529"/>
      <c r="O24" s="529"/>
      <c r="P24" s="529"/>
      <c r="Q24" s="529"/>
      <c r="R24" s="529"/>
      <c r="S24" s="529"/>
      <c r="T24" s="529"/>
      <c r="U24" s="529"/>
      <c r="V24" s="529"/>
      <c r="W24" s="529"/>
      <c r="X24" s="530"/>
    </row>
    <row r="25" spans="1:24" ht="13.5" thickBot="1">
      <c r="L25" s="36"/>
      <c r="M25" s="531"/>
      <c r="N25" s="532"/>
      <c r="O25" s="532"/>
      <c r="P25" s="532"/>
      <c r="Q25" s="532"/>
      <c r="R25" s="532"/>
      <c r="S25" s="532"/>
      <c r="T25" s="532"/>
      <c r="U25" s="532"/>
      <c r="V25" s="532"/>
      <c r="W25" s="532"/>
      <c r="X25" s="533"/>
    </row>
  </sheetData>
  <mergeCells count="21">
    <mergeCell ref="H20:K20"/>
    <mergeCell ref="H21:K21"/>
    <mergeCell ref="M20:X25"/>
    <mergeCell ref="M10:X15"/>
    <mergeCell ref="A5:L6"/>
    <mergeCell ref="M5:O5"/>
    <mergeCell ref="P5:X5"/>
    <mergeCell ref="M6:O6"/>
    <mergeCell ref="P6:X6"/>
    <mergeCell ref="H10:K10"/>
    <mergeCell ref="H11:K11"/>
    <mergeCell ref="A4:L4"/>
    <mergeCell ref="M4:O4"/>
    <mergeCell ref="A1:C3"/>
    <mergeCell ref="D1:L2"/>
    <mergeCell ref="M1:X2"/>
    <mergeCell ref="D3:L3"/>
    <mergeCell ref="M3:X3"/>
    <mergeCell ref="P4:T4"/>
    <mergeCell ref="U4:V4"/>
    <mergeCell ref="W4:X4"/>
  </mergeCells>
  <conditionalFormatting sqref="H10">
    <cfRule type="expression" dxfId="120" priority="17">
      <formula>$H$10=""</formula>
    </cfRule>
    <cfRule type="expression" dxfId="119" priority="18">
      <formula>$H$10&gt;$H$11</formula>
    </cfRule>
    <cfRule type="expression" dxfId="118" priority="19">
      <formula>$H$10&lt;=$H$11</formula>
    </cfRule>
  </conditionalFormatting>
  <conditionalFormatting sqref="P4:T4">
    <cfRule type="expression" dxfId="117" priority="13" stopIfTrue="1">
      <formula>$P$4=""</formula>
    </cfRule>
  </conditionalFormatting>
  <conditionalFormatting sqref="W4:X4">
    <cfRule type="expression" dxfId="116" priority="14" stopIfTrue="1">
      <formula>$W$4=""</formula>
    </cfRule>
  </conditionalFormatting>
  <conditionalFormatting sqref="M3:X3">
    <cfRule type="expression" dxfId="115" priority="15" stopIfTrue="1">
      <formula>$M$1=""</formula>
    </cfRule>
  </conditionalFormatting>
  <conditionalFormatting sqref="M1:X2">
    <cfRule type="cellIs" dxfId="114" priority="16" stopIfTrue="1" operator="equal">
      <formula>""</formula>
    </cfRule>
  </conditionalFormatting>
  <conditionalFormatting sqref="A5:L6">
    <cfRule type="expression" dxfId="113" priority="12">
      <formula>$A$5=""</formula>
    </cfRule>
  </conditionalFormatting>
  <conditionalFormatting sqref="P5:X5">
    <cfRule type="expression" dxfId="112" priority="11">
      <formula>$P$5=""</formula>
    </cfRule>
  </conditionalFormatting>
  <conditionalFormatting sqref="P6">
    <cfRule type="expression" dxfId="111" priority="10">
      <formula>$P$6=""</formula>
    </cfRule>
  </conditionalFormatting>
  <conditionalFormatting sqref="H20">
    <cfRule type="expression" dxfId="110" priority="1">
      <formula>$H$10=""</formula>
    </cfRule>
    <cfRule type="expression" dxfId="109" priority="2">
      <formula>$H$10&gt;$H$11</formula>
    </cfRule>
    <cfRule type="expression" dxfId="108" priority="3">
      <formula>$H$10&lt;=$H$11</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E116"/>
  <sheetViews>
    <sheetView topLeftCell="A53" zoomScaleNormal="100" workbookViewId="0">
      <selection activeCell="L76" sqref="L76"/>
    </sheetView>
  </sheetViews>
  <sheetFormatPr defaultColWidth="9.140625" defaultRowHeight="12"/>
  <cols>
    <col min="1" max="2" width="9.140625" style="2"/>
    <col min="3" max="3" width="11.140625" style="2" bestFit="1" customWidth="1"/>
    <col min="4" max="8" width="9.140625" style="2"/>
    <col min="9" max="9" width="11" style="2" customWidth="1"/>
    <col min="10" max="10" width="10.85546875" style="2" customWidth="1"/>
    <col min="11" max="11" width="10.85546875" style="76" customWidth="1"/>
    <col min="12" max="12" width="12.140625" style="2" customWidth="1"/>
    <col min="13" max="14" width="9.140625" style="2" hidden="1" customWidth="1"/>
    <col min="15" max="15" width="9.5703125" style="2" hidden="1" customWidth="1"/>
    <col min="16" max="18" width="9.140625" style="2" hidden="1" customWidth="1"/>
    <col min="19" max="19" width="14.28515625" style="2" hidden="1" customWidth="1"/>
    <col min="20" max="25" width="9.140625" style="2" hidden="1" customWidth="1"/>
    <col min="26" max="26" width="12.5703125" style="2" hidden="1" customWidth="1"/>
    <col min="27" max="27" width="12.5703125" style="149" customWidth="1"/>
    <col min="28" max="37" width="9.140625" style="2"/>
    <col min="38" max="38" width="9.140625" style="76"/>
    <col min="39" max="39" width="9.140625" style="186"/>
    <col min="40" max="42" width="9.140625" style="2" hidden="1" customWidth="1"/>
    <col min="43" max="43" width="33.42578125" style="2" hidden="1" customWidth="1"/>
    <col min="44" max="48" width="9.140625" style="2" hidden="1" customWidth="1"/>
    <col min="49" max="49" width="14.28515625" style="2" hidden="1" customWidth="1"/>
    <col min="50" max="53" width="9.140625" style="2" hidden="1" customWidth="1"/>
    <col min="54" max="16384" width="9.140625" style="2"/>
  </cols>
  <sheetData>
    <row r="1" spans="1:72" ht="12" customHeight="1">
      <c r="A1" s="375" t="s">
        <v>126</v>
      </c>
      <c r="B1" s="376"/>
      <c r="C1" s="376"/>
      <c r="D1" s="381" t="s">
        <v>127</v>
      </c>
      <c r="E1" s="381"/>
      <c r="F1" s="381"/>
      <c r="G1" s="381"/>
      <c r="H1" s="381"/>
      <c r="I1" s="381"/>
      <c r="J1" s="381"/>
      <c r="K1" s="381"/>
      <c r="L1" s="382"/>
      <c r="AA1" s="385" t="str">
        <f>IF(Oplysningsside!$I$14="","",Oplysningsside!$I$14)</f>
        <v/>
      </c>
      <c r="AB1" s="386"/>
      <c r="AC1" s="386"/>
      <c r="AD1" s="386"/>
      <c r="AE1" s="386"/>
      <c r="AF1" s="386"/>
      <c r="AG1" s="386"/>
      <c r="AH1" s="386"/>
      <c r="AI1" s="386"/>
      <c r="AJ1" s="386"/>
      <c r="AK1" s="386"/>
      <c r="AL1" s="387"/>
    </row>
    <row r="2" spans="1:72" ht="12" customHeight="1">
      <c r="A2" s="377"/>
      <c r="B2" s="378"/>
      <c r="C2" s="378"/>
      <c r="D2" s="383"/>
      <c r="E2" s="383"/>
      <c r="F2" s="383"/>
      <c r="G2" s="383"/>
      <c r="H2" s="383"/>
      <c r="I2" s="383"/>
      <c r="J2" s="383"/>
      <c r="K2" s="383"/>
      <c r="L2" s="384"/>
      <c r="AA2" s="388"/>
      <c r="AB2" s="389"/>
      <c r="AC2" s="389"/>
      <c r="AD2" s="389"/>
      <c r="AE2" s="389"/>
      <c r="AF2" s="389"/>
      <c r="AG2" s="389"/>
      <c r="AH2" s="389"/>
      <c r="AI2" s="389"/>
      <c r="AJ2" s="389"/>
      <c r="AK2" s="389"/>
      <c r="AL2" s="390"/>
    </row>
    <row r="3" spans="1:72" ht="16.5" customHeight="1" thickBot="1">
      <c r="A3" s="379"/>
      <c r="B3" s="380"/>
      <c r="C3" s="380"/>
      <c r="D3" s="391" t="s">
        <v>128</v>
      </c>
      <c r="E3" s="391"/>
      <c r="F3" s="391"/>
      <c r="G3" s="391"/>
      <c r="H3" s="391"/>
      <c r="I3" s="391"/>
      <c r="J3" s="391"/>
      <c r="K3" s="391"/>
      <c r="L3" s="392"/>
      <c r="AA3" s="393" t="str">
        <f>IF(Oplysningsside!$I$14="","","for diagnostiske monitorer")</f>
        <v/>
      </c>
      <c r="AB3" s="394"/>
      <c r="AC3" s="394"/>
      <c r="AD3" s="394"/>
      <c r="AE3" s="394"/>
      <c r="AF3" s="394"/>
      <c r="AG3" s="394"/>
      <c r="AH3" s="394"/>
      <c r="AI3" s="394"/>
      <c r="AJ3" s="394"/>
      <c r="AK3" s="394"/>
      <c r="AL3" s="395"/>
    </row>
    <row r="4" spans="1:72" ht="16.5" thickBot="1">
      <c r="A4" s="407" t="s">
        <v>50</v>
      </c>
      <c r="B4" s="408"/>
      <c r="C4" s="408"/>
      <c r="D4" s="408"/>
      <c r="E4" s="408"/>
      <c r="F4" s="408"/>
      <c r="G4" s="408"/>
      <c r="H4" s="408"/>
      <c r="I4" s="408"/>
      <c r="J4" s="408"/>
      <c r="K4" s="408"/>
      <c r="L4" s="409"/>
      <c r="AA4" s="413" t="s">
        <v>69</v>
      </c>
      <c r="AB4" s="414"/>
      <c r="AC4" s="415"/>
      <c r="AD4" s="550" t="str">
        <f>IF(Oplysningsside!$I$17="","",Oplysningsside!$I$17)</f>
        <v/>
      </c>
      <c r="AE4" s="416"/>
      <c r="AF4" s="416"/>
      <c r="AG4" s="416"/>
      <c r="AH4" s="417"/>
      <c r="AI4" s="515" t="s">
        <v>70</v>
      </c>
      <c r="AJ4" s="516"/>
      <c r="AK4" s="548" t="str">
        <f>IF(Oplysningsside!$I$18="","",Oplysningsside!$I$18)</f>
        <v/>
      </c>
      <c r="AL4" s="518"/>
    </row>
    <row r="5" spans="1:72" ht="13.5" customHeight="1" thickBot="1">
      <c r="A5" s="396" t="str">
        <f>IF(Oplysningsside!$I$16="","",Oplysningsside!$I$16)</f>
        <v/>
      </c>
      <c r="B5" s="397"/>
      <c r="C5" s="397"/>
      <c r="D5" s="397"/>
      <c r="E5" s="397"/>
      <c r="F5" s="397"/>
      <c r="G5" s="397"/>
      <c r="H5" s="397"/>
      <c r="I5" s="397"/>
      <c r="J5" s="397"/>
      <c r="K5" s="397"/>
      <c r="L5" s="398"/>
      <c r="AA5" s="410" t="s">
        <v>159</v>
      </c>
      <c r="AB5" s="402"/>
      <c r="AC5" s="403"/>
      <c r="AD5" s="549" t="str">
        <f>IF(Oplysningsside!$R$27="","",Oplysningsside!$R$27)</f>
        <v/>
      </c>
      <c r="AE5" s="411"/>
      <c r="AF5" s="411"/>
      <c r="AG5" s="411"/>
      <c r="AH5" s="411"/>
      <c r="AI5" s="411"/>
      <c r="AJ5" s="411"/>
      <c r="AK5" s="411"/>
      <c r="AL5" s="412"/>
    </row>
    <row r="6" spans="1:72" ht="13.5" customHeight="1" thickBot="1">
      <c r="A6" s="399"/>
      <c r="B6" s="400"/>
      <c r="C6" s="400"/>
      <c r="D6" s="400"/>
      <c r="E6" s="400"/>
      <c r="F6" s="400"/>
      <c r="G6" s="400"/>
      <c r="H6" s="400"/>
      <c r="I6" s="400"/>
      <c r="J6" s="400"/>
      <c r="K6" s="400"/>
      <c r="L6" s="401"/>
      <c r="AA6" s="402" t="s">
        <v>129</v>
      </c>
      <c r="AB6" s="402"/>
      <c r="AC6" s="403"/>
      <c r="AD6" s="404">
        <f>IF(Oplysningsside!$I$15="dd-mm-åå","",Oplysningsside!$I$15)</f>
        <v>0</v>
      </c>
      <c r="AE6" s="405"/>
      <c r="AF6" s="405"/>
      <c r="AG6" s="405"/>
      <c r="AH6" s="405"/>
      <c r="AI6" s="405"/>
      <c r="AJ6" s="405"/>
      <c r="AK6" s="405"/>
      <c r="AL6" s="406"/>
    </row>
    <row r="7" spans="1:72" ht="12.75" thickBot="1">
      <c r="Z7" s="76"/>
      <c r="AN7" s="110"/>
      <c r="AO7" s="110"/>
      <c r="AP7" s="110"/>
      <c r="AQ7" s="110"/>
      <c r="AR7" s="110"/>
      <c r="AS7" s="110"/>
      <c r="AT7" s="110"/>
      <c r="AU7" s="110"/>
      <c r="AV7" s="110"/>
      <c r="AW7" s="110"/>
      <c r="AX7" s="110"/>
      <c r="AY7" s="110"/>
      <c r="AZ7" s="110"/>
      <c r="BA7" s="112"/>
    </row>
    <row r="8" spans="1:72" ht="18.75">
      <c r="A8" s="25" t="s">
        <v>194</v>
      </c>
      <c r="M8" s="108"/>
      <c r="N8" s="109" t="s">
        <v>42</v>
      </c>
      <c r="O8" s="110"/>
      <c r="P8" s="110"/>
      <c r="Q8" s="110"/>
      <c r="R8" s="111" t="s">
        <v>13</v>
      </c>
      <c r="S8" s="110"/>
      <c r="T8" s="110"/>
      <c r="U8" s="111" t="s">
        <v>14</v>
      </c>
      <c r="V8" s="110"/>
      <c r="W8" s="110"/>
      <c r="X8" s="110"/>
      <c r="Y8" s="110"/>
      <c r="Z8" s="110"/>
      <c r="AB8" s="25" t="s">
        <v>194</v>
      </c>
      <c r="AC8" s="76"/>
      <c r="AD8" s="76"/>
      <c r="AE8" s="76"/>
      <c r="AF8" s="76"/>
      <c r="AG8" s="76"/>
      <c r="AH8" s="76"/>
      <c r="AI8" s="76"/>
      <c r="AJ8" s="76"/>
      <c r="AK8" s="76"/>
      <c r="AN8" s="114"/>
      <c r="AO8" s="146" t="s">
        <v>43</v>
      </c>
      <c r="AP8" s="114"/>
      <c r="AQ8" s="114"/>
      <c r="AR8" s="114"/>
      <c r="AS8" s="114"/>
      <c r="AT8" s="114"/>
      <c r="AU8" s="114"/>
      <c r="AV8" s="147" t="s">
        <v>13</v>
      </c>
      <c r="AW8" s="114"/>
      <c r="AX8" s="114"/>
      <c r="AY8" s="147" t="s">
        <v>14</v>
      </c>
      <c r="AZ8" s="114"/>
      <c r="BA8" s="117"/>
      <c r="BB8" s="76"/>
      <c r="BC8" s="76"/>
      <c r="BD8" s="76"/>
      <c r="BE8" s="76"/>
      <c r="BF8" s="76"/>
      <c r="BG8" s="76"/>
      <c r="BH8" s="76"/>
      <c r="BI8" s="76"/>
      <c r="BJ8" s="76"/>
    </row>
    <row r="9" spans="1:72" ht="18.75">
      <c r="A9" s="25" t="s">
        <v>162</v>
      </c>
      <c r="M9" s="113"/>
      <c r="N9" s="114"/>
      <c r="O9" s="115" t="s">
        <v>12</v>
      </c>
      <c r="P9" s="115" t="s">
        <v>41</v>
      </c>
      <c r="Q9" s="114"/>
      <c r="R9" s="114" t="s">
        <v>15</v>
      </c>
      <c r="S9" s="116">
        <v>-1.3011877000000001</v>
      </c>
      <c r="T9" s="114"/>
      <c r="U9" s="114" t="s">
        <v>25</v>
      </c>
      <c r="V9" s="114">
        <v>71.498068000000004</v>
      </c>
      <c r="W9" s="114"/>
      <c r="X9" s="114"/>
      <c r="Y9" s="114"/>
      <c r="Z9" s="114"/>
      <c r="AB9" s="25" t="s">
        <v>163</v>
      </c>
      <c r="AC9" s="76"/>
      <c r="AD9" s="76"/>
      <c r="AE9" s="76"/>
      <c r="AF9" s="76"/>
      <c r="AG9" s="76"/>
      <c r="AH9" s="76"/>
      <c r="AI9" s="76"/>
      <c r="AJ9" s="76"/>
      <c r="AK9" s="76"/>
      <c r="AN9" s="114"/>
      <c r="AO9" s="114"/>
      <c r="AP9" s="115" t="s">
        <v>44</v>
      </c>
      <c r="AQ9" s="115"/>
      <c r="AR9" s="114"/>
      <c r="AS9" s="148"/>
      <c r="AT9" s="114"/>
      <c r="AU9" s="114"/>
      <c r="AV9" s="114" t="s">
        <v>15</v>
      </c>
      <c r="AW9" s="116">
        <v>-1.3011877000000001</v>
      </c>
      <c r="AX9" s="114"/>
      <c r="AY9" s="114" t="s">
        <v>25</v>
      </c>
      <c r="AZ9" s="114">
        <v>71.498068000000004</v>
      </c>
      <c r="BA9" s="117"/>
      <c r="BB9" s="76"/>
      <c r="BC9" s="76"/>
      <c r="BD9" s="76"/>
      <c r="BE9" s="76"/>
      <c r="BF9" s="76"/>
      <c r="BG9" s="76"/>
      <c r="BH9" s="76"/>
      <c r="BI9" s="76"/>
      <c r="BJ9" s="76"/>
    </row>
    <row r="10" spans="1:72">
      <c r="A10" s="3" t="s">
        <v>208</v>
      </c>
      <c r="B10" s="76"/>
      <c r="C10" s="76"/>
      <c r="D10" s="76"/>
      <c r="E10" s="76"/>
      <c r="F10" s="76"/>
      <c r="H10" s="76"/>
      <c r="I10" s="76"/>
      <c r="J10" s="76"/>
      <c r="M10" s="113"/>
      <c r="N10" s="115">
        <v>1</v>
      </c>
      <c r="O10" s="115">
        <v>0</v>
      </c>
      <c r="P10" s="115">
        <v>0</v>
      </c>
      <c r="Q10" s="114"/>
      <c r="R10" s="114" t="s">
        <v>16</v>
      </c>
      <c r="S10" s="116">
        <v>-2.5840190999999998E-2</v>
      </c>
      <c r="T10" s="114"/>
      <c r="U10" s="114" t="s">
        <v>26</v>
      </c>
      <c r="V10" s="114">
        <v>94.593052999999998</v>
      </c>
      <c r="W10" s="114"/>
      <c r="X10" s="114"/>
      <c r="Y10" s="114"/>
      <c r="Z10" s="114"/>
      <c r="AB10" s="3" t="s">
        <v>208</v>
      </c>
      <c r="AC10" s="76"/>
      <c r="AD10" s="76"/>
      <c r="AE10" s="76"/>
      <c r="AF10" s="76"/>
      <c r="AG10" s="76"/>
      <c r="AH10" s="76"/>
      <c r="AI10" s="76"/>
      <c r="AJ10" s="76"/>
      <c r="AK10" s="76"/>
      <c r="AN10" s="114"/>
      <c r="AO10" s="145">
        <v>0</v>
      </c>
      <c r="AP10" s="115">
        <f t="shared" ref="AP10:AP19" si="0">AO10*$AP$20</f>
        <v>0</v>
      </c>
      <c r="AQ10" s="115"/>
      <c r="AR10" s="114"/>
      <c r="AS10" s="114"/>
      <c r="AT10" s="114"/>
      <c r="AU10" s="114"/>
      <c r="AV10" s="114" t="s">
        <v>16</v>
      </c>
      <c r="AW10" s="116">
        <v>-2.5840190999999998E-2</v>
      </c>
      <c r="AX10" s="114"/>
      <c r="AY10" s="114" t="s">
        <v>26</v>
      </c>
      <c r="AZ10" s="114">
        <v>94.593052999999998</v>
      </c>
      <c r="BA10" s="117"/>
      <c r="BB10" s="76"/>
      <c r="BC10" s="76"/>
      <c r="BD10" s="76"/>
      <c r="BE10" s="76"/>
      <c r="BF10" s="76"/>
      <c r="BG10" s="76"/>
      <c r="BH10" s="76"/>
      <c r="BI10" s="76"/>
      <c r="BJ10" s="76"/>
      <c r="BK10" s="76"/>
      <c r="BL10" s="76"/>
      <c r="BM10" s="76"/>
      <c r="BN10" s="76"/>
      <c r="BO10" s="76"/>
      <c r="BP10" s="76"/>
      <c r="BQ10" s="76"/>
      <c r="BR10" s="76"/>
      <c r="BS10" s="76"/>
      <c r="BT10" s="76"/>
    </row>
    <row r="11" spans="1:72">
      <c r="A11" s="3" t="s">
        <v>209</v>
      </c>
      <c r="B11" s="76"/>
      <c r="C11" s="76"/>
      <c r="D11" s="76"/>
      <c r="E11" s="76"/>
      <c r="F11" s="76"/>
      <c r="G11" s="76"/>
      <c r="M11" s="113"/>
      <c r="N11" s="115">
        <v>2</v>
      </c>
      <c r="O11" s="115">
        <v>240</v>
      </c>
      <c r="P11" s="115">
        <v>128</v>
      </c>
      <c r="Q11" s="114"/>
      <c r="R11" s="114" t="s">
        <v>17</v>
      </c>
      <c r="S11" s="116">
        <v>8.0242636000000006E-2</v>
      </c>
      <c r="T11" s="114"/>
      <c r="U11" s="114" t="s">
        <v>27</v>
      </c>
      <c r="V11" s="114">
        <v>41.912053</v>
      </c>
      <c r="W11" s="114"/>
      <c r="X11" s="114"/>
      <c r="Y11" s="114"/>
      <c r="Z11" s="114"/>
      <c r="AB11" s="3" t="s">
        <v>90</v>
      </c>
      <c r="AC11" s="76"/>
      <c r="AD11" s="76"/>
      <c r="AE11" s="76"/>
      <c r="AF11" s="76"/>
      <c r="AG11" s="76"/>
      <c r="AH11" s="76"/>
      <c r="AI11" s="76"/>
      <c r="AJ11" s="76"/>
      <c r="AK11" s="76"/>
      <c r="AN11" s="114"/>
      <c r="AO11" s="145">
        <v>0.1</v>
      </c>
      <c r="AP11" s="115">
        <f t="shared" si="0"/>
        <v>409.5</v>
      </c>
      <c r="AQ11" s="115"/>
      <c r="AR11" s="114"/>
      <c r="AS11" s="114"/>
      <c r="AT11" s="114"/>
      <c r="AU11" s="114"/>
      <c r="AV11" s="114" t="s">
        <v>17</v>
      </c>
      <c r="AW11" s="116">
        <v>8.0242636000000006E-2</v>
      </c>
      <c r="AX11" s="114"/>
      <c r="AY11" s="114" t="s">
        <v>27</v>
      </c>
      <c r="AZ11" s="114">
        <v>41.912053</v>
      </c>
      <c r="BA11" s="117"/>
      <c r="BB11" s="76"/>
      <c r="BC11" s="76"/>
      <c r="BD11" s="76"/>
      <c r="BE11" s="76"/>
      <c r="BF11" s="76"/>
      <c r="BG11" s="76"/>
      <c r="BH11" s="76"/>
      <c r="BI11" s="76"/>
      <c r="BJ11" s="76"/>
      <c r="BK11" s="76"/>
      <c r="BL11" s="76"/>
      <c r="BM11" s="76"/>
      <c r="BN11" s="76"/>
      <c r="BO11" s="76"/>
      <c r="BP11" s="76"/>
      <c r="BQ11" s="76"/>
      <c r="BR11" s="76"/>
      <c r="BS11" s="76"/>
      <c r="BT11" s="76"/>
    </row>
    <row r="12" spans="1:72">
      <c r="A12" s="14"/>
      <c r="H12" s="76"/>
      <c r="I12" s="76"/>
      <c r="M12" s="113"/>
      <c r="N12" s="115">
        <v>3</v>
      </c>
      <c r="O12" s="115">
        <v>480</v>
      </c>
      <c r="P12" s="115">
        <v>384</v>
      </c>
      <c r="Q12" s="114"/>
      <c r="R12" s="114" t="s">
        <v>18</v>
      </c>
      <c r="S12" s="116">
        <v>-0.10320229</v>
      </c>
      <c r="T12" s="114"/>
      <c r="U12" s="114" t="s">
        <v>28</v>
      </c>
      <c r="V12" s="114">
        <v>9.8247003999999993</v>
      </c>
      <c r="W12" s="114"/>
      <c r="X12" s="114"/>
      <c r="Y12" s="114"/>
      <c r="Z12" s="114"/>
      <c r="AB12" s="14"/>
      <c r="AC12" s="76"/>
      <c r="AD12" s="76"/>
      <c r="AE12" s="76"/>
      <c r="AF12" s="76"/>
      <c r="AG12" s="76"/>
      <c r="AH12" s="76"/>
      <c r="AI12" s="76"/>
      <c r="AJ12" s="76"/>
      <c r="AK12" s="76"/>
      <c r="AN12" s="114"/>
      <c r="AO12" s="145">
        <v>0.2</v>
      </c>
      <c r="AP12" s="115">
        <f t="shared" si="0"/>
        <v>819</v>
      </c>
      <c r="AQ12" s="115"/>
      <c r="AR12" s="114"/>
      <c r="AS12" s="114"/>
      <c r="AT12" s="114"/>
      <c r="AU12" s="114"/>
      <c r="AV12" s="114" t="s">
        <v>18</v>
      </c>
      <c r="AW12" s="116">
        <v>-0.10320229</v>
      </c>
      <c r="AX12" s="114"/>
      <c r="AY12" s="114" t="s">
        <v>28</v>
      </c>
      <c r="AZ12" s="114">
        <v>9.8247003999999993</v>
      </c>
      <c r="BA12" s="117"/>
      <c r="BB12" s="76"/>
      <c r="BC12" s="76"/>
      <c r="BD12" s="76"/>
      <c r="BE12" s="76"/>
      <c r="BF12" s="76"/>
      <c r="BG12" s="76"/>
      <c r="BH12" s="76"/>
      <c r="BI12" s="76"/>
      <c r="BJ12" s="76"/>
      <c r="BK12" s="76"/>
      <c r="BL12" s="76"/>
      <c r="BM12" s="76"/>
      <c r="BN12" s="76"/>
      <c r="BO12" s="76"/>
      <c r="BP12" s="76"/>
      <c r="BQ12" s="76"/>
      <c r="BR12" s="76"/>
      <c r="BS12" s="76"/>
      <c r="BT12" s="76"/>
    </row>
    <row r="13" spans="1:72">
      <c r="A13" s="14" t="s">
        <v>210</v>
      </c>
      <c r="B13" s="76"/>
      <c r="C13" s="76"/>
      <c r="D13" s="76"/>
      <c r="E13" s="76"/>
      <c r="F13" s="76"/>
      <c r="G13" s="76"/>
      <c r="H13" s="76"/>
      <c r="I13" s="76"/>
      <c r="M13" s="113"/>
      <c r="N13" s="115">
        <v>4</v>
      </c>
      <c r="O13" s="115">
        <v>720</v>
      </c>
      <c r="P13" s="115">
        <v>640</v>
      </c>
      <c r="Q13" s="114"/>
      <c r="R13" s="114" t="s">
        <v>19</v>
      </c>
      <c r="S13" s="116">
        <v>0.13646699000000001</v>
      </c>
      <c r="T13" s="114"/>
      <c r="U13" s="114" t="s">
        <v>29</v>
      </c>
      <c r="V13" s="114">
        <v>0.28175407000000002</v>
      </c>
      <c r="W13" s="114"/>
      <c r="X13" s="114"/>
      <c r="Y13" s="114"/>
      <c r="Z13" s="114"/>
      <c r="AB13" s="14" t="s">
        <v>210</v>
      </c>
      <c r="AC13" s="76"/>
      <c r="AD13" s="76"/>
      <c r="AE13" s="76"/>
      <c r="AF13" s="76"/>
      <c r="AG13" s="76"/>
      <c r="AH13" s="76"/>
      <c r="AI13" s="76"/>
      <c r="AJ13" s="76"/>
      <c r="AK13" s="76"/>
      <c r="AN13" s="114"/>
      <c r="AO13" s="145">
        <v>0.3</v>
      </c>
      <c r="AP13" s="115">
        <f t="shared" si="0"/>
        <v>1228.5</v>
      </c>
      <c r="AQ13" s="115"/>
      <c r="AR13" s="114"/>
      <c r="AS13" s="118"/>
      <c r="AT13" s="118"/>
      <c r="AU13" s="114"/>
      <c r="AV13" s="114" t="s">
        <v>19</v>
      </c>
      <c r="AW13" s="116">
        <v>0.13646699000000001</v>
      </c>
      <c r="AX13" s="114"/>
      <c r="AY13" s="114" t="s">
        <v>29</v>
      </c>
      <c r="AZ13" s="114">
        <v>0.28175407000000002</v>
      </c>
      <c r="BA13" s="117"/>
      <c r="BB13" s="76"/>
      <c r="BC13" s="76"/>
      <c r="BD13" s="76"/>
      <c r="BE13" s="76"/>
      <c r="BF13" s="76"/>
      <c r="BG13" s="76"/>
      <c r="BH13" s="76"/>
      <c r="BI13" s="76"/>
      <c r="BJ13" s="76"/>
      <c r="BK13" s="76"/>
      <c r="BL13" s="76"/>
      <c r="BM13" s="76"/>
      <c r="BN13" s="76"/>
      <c r="BO13" s="76"/>
      <c r="BP13" s="76"/>
      <c r="BQ13" s="76"/>
      <c r="BR13" s="76"/>
      <c r="BS13" s="76"/>
      <c r="BT13" s="76"/>
    </row>
    <row r="14" spans="1:72" ht="13.5">
      <c r="A14" s="76" t="s">
        <v>233</v>
      </c>
      <c r="B14" s="76"/>
      <c r="C14" s="76"/>
      <c r="D14" s="76"/>
      <c r="E14" s="76"/>
      <c r="F14" s="76"/>
      <c r="G14" s="76"/>
      <c r="H14" s="76"/>
      <c r="I14" s="14"/>
      <c r="J14" s="76"/>
      <c r="M14" s="113"/>
      <c r="N14" s="115">
        <v>5</v>
      </c>
      <c r="O14" s="115">
        <v>960</v>
      </c>
      <c r="P14" s="115">
        <v>896</v>
      </c>
      <c r="Q14" s="114"/>
      <c r="R14" s="114" t="s">
        <v>20</v>
      </c>
      <c r="S14" s="116">
        <v>2.874562E-2</v>
      </c>
      <c r="T14" s="114"/>
      <c r="U14" s="114" t="s">
        <v>30</v>
      </c>
      <c r="V14" s="114">
        <v>-1.1878455000000001</v>
      </c>
      <c r="W14" s="114"/>
      <c r="X14" s="114"/>
      <c r="Y14" s="114"/>
      <c r="Z14" s="114"/>
      <c r="AB14" s="76" t="s">
        <v>234</v>
      </c>
      <c r="AC14" s="76"/>
      <c r="AD14" s="76"/>
      <c r="AE14" s="76"/>
      <c r="AF14" s="76"/>
      <c r="AG14" s="76"/>
      <c r="AH14" s="76"/>
      <c r="AI14" s="76"/>
      <c r="AJ14" s="76"/>
      <c r="AK14" s="76"/>
      <c r="AN14" s="114"/>
      <c r="AO14" s="145">
        <v>0.4</v>
      </c>
      <c r="AP14" s="115">
        <f t="shared" si="0"/>
        <v>1638</v>
      </c>
      <c r="AQ14" s="115"/>
      <c r="AR14" s="114"/>
      <c r="AS14" s="114"/>
      <c r="AT14" s="114"/>
      <c r="AU14" s="114"/>
      <c r="AV14" s="114" t="s">
        <v>20</v>
      </c>
      <c r="AW14" s="116">
        <v>2.874562E-2</v>
      </c>
      <c r="AX14" s="114"/>
      <c r="AY14" s="114" t="s">
        <v>30</v>
      </c>
      <c r="AZ14" s="114">
        <v>-1.1878455000000001</v>
      </c>
      <c r="BA14" s="117"/>
      <c r="BB14" s="76"/>
      <c r="BC14" s="76"/>
      <c r="BD14" s="76"/>
      <c r="BE14" s="76"/>
      <c r="BF14" s="76"/>
      <c r="BG14" s="76"/>
      <c r="BH14" s="76"/>
      <c r="BI14" s="76"/>
      <c r="BJ14" s="76"/>
      <c r="BK14" s="76"/>
      <c r="BL14" s="76"/>
      <c r="BM14" s="76"/>
      <c r="BN14" s="76"/>
      <c r="BO14" s="76"/>
      <c r="BP14" s="76"/>
      <c r="BQ14" s="76"/>
      <c r="BR14" s="76"/>
      <c r="BS14" s="76"/>
      <c r="BT14" s="76"/>
    </row>
    <row r="15" spans="1:72">
      <c r="A15" s="2" t="s">
        <v>211</v>
      </c>
      <c r="B15" s="76"/>
      <c r="C15" s="76"/>
      <c r="D15" s="76"/>
      <c r="E15" s="76"/>
      <c r="F15" s="76"/>
      <c r="G15" s="76"/>
      <c r="H15" s="76"/>
      <c r="I15" s="76"/>
      <c r="J15" s="76"/>
      <c r="L15" s="76"/>
      <c r="M15" s="113"/>
      <c r="N15" s="115">
        <v>6</v>
      </c>
      <c r="O15" s="115">
        <v>1200</v>
      </c>
      <c r="P15" s="115">
        <v>1152</v>
      </c>
      <c r="Q15" s="114"/>
      <c r="R15" s="114" t="s">
        <v>21</v>
      </c>
      <c r="S15" s="116">
        <v>-2.5468404E-2</v>
      </c>
      <c r="T15" s="114"/>
      <c r="U15" s="114" t="s">
        <v>31</v>
      </c>
      <c r="V15" s="114">
        <v>-0.18014348999999999</v>
      </c>
      <c r="W15" s="114"/>
      <c r="X15" s="114"/>
      <c r="Y15" s="114"/>
      <c r="Z15" s="114"/>
      <c r="AB15" s="76" t="s">
        <v>236</v>
      </c>
      <c r="AC15" s="76"/>
      <c r="AD15" s="76"/>
      <c r="AE15" s="76"/>
      <c r="AF15" s="76"/>
      <c r="AG15" s="76"/>
      <c r="AH15" s="76"/>
      <c r="AI15" s="76"/>
      <c r="AJ15" s="14"/>
      <c r="AK15" s="76"/>
      <c r="AN15" s="114"/>
      <c r="AO15" s="145">
        <v>0.5</v>
      </c>
      <c r="AP15" s="115">
        <f t="shared" si="0"/>
        <v>2047.5</v>
      </c>
      <c r="AQ15" s="115"/>
      <c r="AR15" s="114"/>
      <c r="AS15" s="114"/>
      <c r="AT15" s="114"/>
      <c r="AU15" s="114"/>
      <c r="AV15" s="114" t="s">
        <v>21</v>
      </c>
      <c r="AW15" s="116">
        <v>-2.5468404E-2</v>
      </c>
      <c r="AX15" s="114"/>
      <c r="AY15" s="114" t="s">
        <v>31</v>
      </c>
      <c r="AZ15" s="114">
        <v>-0.18014348999999999</v>
      </c>
      <c r="BA15" s="117"/>
      <c r="BB15" s="76"/>
      <c r="BC15" s="76"/>
      <c r="BD15" s="76"/>
      <c r="BE15" s="76"/>
      <c r="BF15" s="76"/>
      <c r="BG15" s="76"/>
      <c r="BH15" s="76"/>
      <c r="BI15" s="76"/>
      <c r="BJ15" s="76"/>
      <c r="BK15" s="76"/>
      <c r="BL15" s="76"/>
      <c r="BM15" s="76"/>
      <c r="BN15" s="76"/>
      <c r="BO15" s="76"/>
      <c r="BP15" s="76"/>
      <c r="BQ15" s="76"/>
      <c r="BR15" s="76"/>
      <c r="BS15" s="76"/>
      <c r="BT15" s="76"/>
    </row>
    <row r="16" spans="1:72">
      <c r="A16" s="76" t="s">
        <v>212</v>
      </c>
      <c r="B16" s="76"/>
      <c r="C16" s="76"/>
      <c r="D16" s="76"/>
      <c r="E16" s="76"/>
      <c r="F16" s="76"/>
      <c r="G16" s="76"/>
      <c r="H16" s="76"/>
      <c r="I16" s="76"/>
      <c r="J16" s="76"/>
      <c r="L16" s="76"/>
      <c r="M16" s="260"/>
      <c r="N16" s="4">
        <v>7</v>
      </c>
      <c r="O16" s="4">
        <v>1440</v>
      </c>
      <c r="P16" s="4">
        <v>1408</v>
      </c>
      <c r="Q16" s="16"/>
      <c r="R16" s="16" t="s">
        <v>22</v>
      </c>
      <c r="S16" s="261">
        <v>-3.1978977000000001E-3</v>
      </c>
      <c r="T16" s="16"/>
      <c r="U16" s="16" t="s">
        <v>32</v>
      </c>
      <c r="V16" s="16">
        <v>0.14710899</v>
      </c>
      <c r="W16" s="16"/>
      <c r="X16" s="16"/>
      <c r="Y16" s="16"/>
      <c r="Z16" s="16"/>
      <c r="AB16" s="76" t="s">
        <v>261</v>
      </c>
      <c r="AC16" s="76"/>
      <c r="AD16" s="76"/>
      <c r="AE16" s="76"/>
      <c r="AF16" s="76"/>
      <c r="AG16" s="76"/>
      <c r="AH16" s="76"/>
      <c r="AI16" s="76"/>
      <c r="AJ16" s="76"/>
      <c r="AK16" s="76"/>
      <c r="AN16" s="114"/>
      <c r="AO16" s="145">
        <v>0.6</v>
      </c>
      <c r="AP16" s="115">
        <f t="shared" si="0"/>
        <v>2457</v>
      </c>
      <c r="AQ16" s="115"/>
      <c r="AR16" s="114"/>
      <c r="AS16" s="114"/>
      <c r="AT16" s="114"/>
      <c r="AU16" s="114"/>
      <c r="AV16" s="114" t="s">
        <v>22</v>
      </c>
      <c r="AW16" s="116">
        <v>-3.1978977000000001E-3</v>
      </c>
      <c r="AX16" s="114"/>
      <c r="AY16" s="114" t="s">
        <v>32</v>
      </c>
      <c r="AZ16" s="114">
        <v>0.14710899</v>
      </c>
      <c r="BA16" s="117"/>
      <c r="BB16" s="76"/>
      <c r="BC16" s="76"/>
      <c r="BD16" s="76"/>
      <c r="BE16" s="76"/>
      <c r="BF16" s="76"/>
      <c r="BG16" s="76"/>
      <c r="BH16" s="76"/>
      <c r="BI16" s="76"/>
      <c r="BJ16" s="76"/>
      <c r="BK16" s="76"/>
      <c r="BL16" s="76"/>
      <c r="BM16" s="76"/>
      <c r="BN16" s="76"/>
      <c r="BO16" s="76"/>
      <c r="BP16" s="76"/>
      <c r="BQ16" s="76"/>
      <c r="BR16" s="76"/>
      <c r="BS16" s="76"/>
      <c r="BT16" s="76"/>
    </row>
    <row r="17" spans="1:213" ht="12" customHeight="1">
      <c r="A17" s="76"/>
      <c r="B17" s="76"/>
      <c r="C17" s="76"/>
      <c r="D17" s="76"/>
      <c r="E17" s="76"/>
      <c r="F17" s="76"/>
      <c r="G17" s="76"/>
      <c r="H17" s="76"/>
      <c r="I17" s="76"/>
      <c r="J17" s="76"/>
      <c r="M17" s="113"/>
      <c r="N17" s="115">
        <v>8</v>
      </c>
      <c r="O17" s="115">
        <v>1680</v>
      </c>
      <c r="P17" s="115">
        <v>1664</v>
      </c>
      <c r="Q17" s="114"/>
      <c r="R17" s="114" t="s">
        <v>23</v>
      </c>
      <c r="S17" s="116">
        <v>1.2992634000000001E-4</v>
      </c>
      <c r="T17" s="114"/>
      <c r="U17" s="114" t="s">
        <v>33</v>
      </c>
      <c r="V17" s="114">
        <v>-1.7046845000000001E-2</v>
      </c>
      <c r="W17" s="114"/>
      <c r="X17" s="114"/>
      <c r="Y17" s="114"/>
      <c r="Z17" s="114"/>
      <c r="AB17" s="76"/>
      <c r="AC17" s="76"/>
      <c r="AD17" s="76"/>
      <c r="AE17" s="76"/>
      <c r="AF17" s="76"/>
      <c r="AG17" s="76"/>
      <c r="AH17" s="76"/>
      <c r="AI17" s="76"/>
      <c r="AJ17" s="76"/>
      <c r="AK17" s="76"/>
      <c r="AN17" s="114"/>
      <c r="AO17" s="145">
        <v>0.7</v>
      </c>
      <c r="AP17" s="115">
        <f t="shared" si="0"/>
        <v>2866.5</v>
      </c>
      <c r="AQ17" s="115"/>
      <c r="AR17" s="114"/>
      <c r="AS17" s="114"/>
      <c r="AT17" s="114"/>
      <c r="AU17" s="114"/>
      <c r="AV17" s="114" t="s">
        <v>23</v>
      </c>
      <c r="AW17" s="116">
        <v>1.2992634000000001E-4</v>
      </c>
      <c r="AX17" s="114"/>
      <c r="AY17" s="114" t="s">
        <v>33</v>
      </c>
      <c r="AZ17" s="114">
        <v>-1.7046845000000001E-2</v>
      </c>
      <c r="BA17" s="117"/>
      <c r="BB17" s="76"/>
      <c r="BC17" s="76"/>
      <c r="BD17" s="76"/>
      <c r="BE17" s="76"/>
      <c r="BF17" s="76"/>
      <c r="BG17" s="76"/>
      <c r="BH17" s="76"/>
      <c r="BI17" s="76"/>
      <c r="BJ17" s="76"/>
      <c r="BK17" s="76"/>
      <c r="BL17" s="76"/>
      <c r="BM17" s="76"/>
      <c r="BN17" s="76"/>
      <c r="BO17" s="76"/>
      <c r="BP17" s="76"/>
      <c r="BQ17" s="76"/>
      <c r="BR17" s="76"/>
      <c r="BS17" s="76"/>
      <c r="BT17" s="76"/>
    </row>
    <row r="18" spans="1:213" ht="12" customHeight="1">
      <c r="A18" s="14" t="s">
        <v>213</v>
      </c>
      <c r="B18" s="76"/>
      <c r="C18" s="76"/>
      <c r="D18" s="76"/>
      <c r="E18" s="76"/>
      <c r="F18" s="76"/>
      <c r="G18" s="76"/>
      <c r="H18" s="76"/>
      <c r="I18" s="76"/>
      <c r="J18" s="76"/>
      <c r="M18" s="113"/>
      <c r="N18" s="115">
        <v>9</v>
      </c>
      <c r="O18" s="115">
        <v>1920</v>
      </c>
      <c r="P18" s="115">
        <v>1920</v>
      </c>
      <c r="Q18" s="114"/>
      <c r="R18" s="114" t="s">
        <v>24</v>
      </c>
      <c r="S18" s="116">
        <v>1.3635334E-3</v>
      </c>
      <c r="T18" s="114"/>
      <c r="U18" s="114"/>
      <c r="V18" s="114"/>
      <c r="W18" s="114"/>
      <c r="X18" s="114"/>
      <c r="Y18" s="114"/>
      <c r="Z18" s="114"/>
      <c r="AB18" s="14" t="s">
        <v>213</v>
      </c>
      <c r="AC18" s="76"/>
      <c r="AD18" s="76"/>
      <c r="AE18" s="76"/>
      <c r="AF18" s="76"/>
      <c r="AG18" s="76"/>
      <c r="AH18" s="76"/>
      <c r="AI18" s="76"/>
      <c r="AJ18" s="76"/>
      <c r="AK18" s="76"/>
      <c r="AN18" s="114"/>
      <c r="AO18" s="145">
        <v>0.8</v>
      </c>
      <c r="AP18" s="115">
        <f t="shared" si="0"/>
        <v>3276</v>
      </c>
      <c r="AQ18" s="115"/>
      <c r="AR18" s="114"/>
      <c r="AS18" s="114"/>
      <c r="AT18" s="114"/>
      <c r="AU18" s="114"/>
      <c r="AV18" s="114" t="s">
        <v>24</v>
      </c>
      <c r="AW18" s="116">
        <v>1.3635334E-3</v>
      </c>
      <c r="AX18" s="114"/>
      <c r="AY18" s="114"/>
      <c r="AZ18" s="114"/>
      <c r="BA18" s="117"/>
      <c r="BB18" s="76"/>
      <c r="BC18" s="76"/>
      <c r="BD18" s="76"/>
      <c r="BE18" s="76"/>
      <c r="BF18" s="76"/>
      <c r="BG18" s="76"/>
      <c r="BH18" s="76"/>
      <c r="BI18" s="76"/>
      <c r="BJ18" s="76"/>
      <c r="BK18" s="76"/>
      <c r="BL18" s="76"/>
      <c r="BM18" s="76"/>
      <c r="BN18" s="76"/>
      <c r="BO18" s="76"/>
      <c r="BP18" s="76"/>
      <c r="BQ18" s="76"/>
      <c r="BR18" s="76"/>
      <c r="BS18" s="76"/>
      <c r="BT18" s="76"/>
    </row>
    <row r="19" spans="1:213" ht="12" customHeight="1">
      <c r="A19" s="76" t="s">
        <v>235</v>
      </c>
      <c r="B19" s="76"/>
      <c r="C19" s="76"/>
      <c r="D19" s="76"/>
      <c r="E19" s="76"/>
      <c r="F19" s="76"/>
      <c r="G19" s="76"/>
      <c r="H19" s="76"/>
      <c r="I19" s="76"/>
      <c r="J19" s="76"/>
      <c r="L19" s="76"/>
      <c r="M19" s="113"/>
      <c r="N19" s="115">
        <v>10</v>
      </c>
      <c r="O19" s="115">
        <v>2160</v>
      </c>
      <c r="P19" s="115">
        <v>2176</v>
      </c>
      <c r="Q19" s="114"/>
      <c r="R19" s="114"/>
      <c r="S19" s="114"/>
      <c r="T19" s="114"/>
      <c r="U19" s="114"/>
      <c r="V19" s="114"/>
      <c r="W19" s="114"/>
      <c r="X19" s="114"/>
      <c r="Y19" s="114"/>
      <c r="Z19" s="114"/>
      <c r="AB19" s="76" t="s">
        <v>238</v>
      </c>
      <c r="AC19" s="76"/>
      <c r="AD19" s="76"/>
      <c r="AE19" s="76"/>
      <c r="AF19" s="76"/>
      <c r="AG19" s="76"/>
      <c r="AH19" s="76"/>
      <c r="AI19" s="76"/>
      <c r="AJ19" s="76"/>
      <c r="AK19" s="76"/>
      <c r="AN19" s="114"/>
      <c r="AO19" s="145">
        <v>0.9</v>
      </c>
      <c r="AP19" s="115">
        <f t="shared" si="0"/>
        <v>3685.5</v>
      </c>
      <c r="AQ19" s="115"/>
      <c r="AR19" s="114"/>
      <c r="AS19" s="114"/>
      <c r="AT19" s="114"/>
      <c r="AU19" s="114"/>
      <c r="AV19" s="114"/>
      <c r="AW19" s="114"/>
      <c r="AX19" s="114"/>
      <c r="AY19" s="114"/>
      <c r="AZ19" s="114"/>
      <c r="BA19" s="117"/>
      <c r="BB19" s="76"/>
      <c r="BC19" s="76"/>
      <c r="BD19" s="76"/>
      <c r="BE19" s="76"/>
      <c r="BF19" s="76"/>
      <c r="BG19" s="76"/>
      <c r="BH19" s="76"/>
      <c r="BI19" s="76"/>
      <c r="BJ19" s="76"/>
      <c r="BK19" s="76"/>
      <c r="BL19" s="76"/>
      <c r="BM19" s="76"/>
      <c r="BN19" s="76"/>
      <c r="BO19" s="76"/>
      <c r="BP19" s="76"/>
      <c r="BQ19" s="76"/>
      <c r="BR19" s="76"/>
      <c r="BS19" s="76"/>
      <c r="BT19" s="76"/>
    </row>
    <row r="20" spans="1:213" ht="12" customHeight="1">
      <c r="A20" s="76" t="s">
        <v>214</v>
      </c>
      <c r="B20" s="76"/>
      <c r="C20" s="76"/>
      <c r="D20" s="76"/>
      <c r="E20" s="76"/>
      <c r="F20" s="76"/>
      <c r="G20" s="76"/>
      <c r="H20" s="76"/>
      <c r="I20" s="76"/>
      <c r="J20" s="76"/>
      <c r="M20" s="113"/>
      <c r="N20" s="115">
        <v>11</v>
      </c>
      <c r="O20" s="115">
        <v>2400</v>
      </c>
      <c r="P20" s="115">
        <v>2432</v>
      </c>
      <c r="Q20" s="114"/>
      <c r="R20" s="114"/>
      <c r="S20" s="114"/>
      <c r="T20" s="114"/>
      <c r="U20" s="114"/>
      <c r="V20" s="114"/>
      <c r="W20" s="114"/>
      <c r="X20" s="114"/>
      <c r="Y20" s="114"/>
      <c r="Z20" s="114"/>
      <c r="AB20" s="76" t="s">
        <v>262</v>
      </c>
      <c r="AC20" s="76"/>
      <c r="AD20" s="76"/>
      <c r="AE20" s="76"/>
      <c r="AF20" s="76"/>
      <c r="AG20" s="76"/>
      <c r="AH20" s="76"/>
      <c r="AI20" s="76"/>
      <c r="AJ20" s="76"/>
      <c r="AK20" s="76"/>
      <c r="AN20" s="114"/>
      <c r="AO20" s="145">
        <v>1</v>
      </c>
      <c r="AP20" s="115">
        <v>4095</v>
      </c>
      <c r="AQ20" s="115"/>
      <c r="AR20" s="114"/>
      <c r="AS20" s="114"/>
      <c r="AT20" s="114"/>
      <c r="AU20" s="114"/>
      <c r="AV20" s="114"/>
      <c r="AW20" s="114"/>
      <c r="AX20" s="114"/>
      <c r="AY20" s="114"/>
      <c r="AZ20" s="114"/>
      <c r="BA20" s="117"/>
      <c r="BB20" s="76"/>
      <c r="BC20" s="76"/>
      <c r="BD20" s="76"/>
      <c r="BE20" s="76"/>
      <c r="BF20" s="76"/>
      <c r="BG20" s="76"/>
      <c r="BH20" s="76"/>
      <c r="BI20" s="76"/>
      <c r="BJ20" s="76"/>
      <c r="BK20" s="76"/>
      <c r="BL20" s="76"/>
      <c r="BM20" s="76"/>
      <c r="BN20" s="76"/>
      <c r="BO20" s="76"/>
      <c r="BP20" s="76"/>
      <c r="BQ20" s="76"/>
      <c r="BR20" s="76"/>
      <c r="BS20" s="76"/>
      <c r="BT20" s="76"/>
    </row>
    <row r="21" spans="1:213" ht="12" customHeight="1">
      <c r="B21" s="76"/>
      <c r="C21" s="76"/>
      <c r="D21" s="76"/>
      <c r="E21" s="76"/>
      <c r="F21" s="76"/>
      <c r="G21" s="76"/>
      <c r="H21" s="76"/>
      <c r="I21" s="76"/>
      <c r="J21" s="76"/>
      <c r="L21" s="76"/>
      <c r="M21" s="113"/>
      <c r="N21" s="115">
        <v>12</v>
      </c>
      <c r="O21" s="115">
        <v>2640</v>
      </c>
      <c r="P21" s="115">
        <v>2688</v>
      </c>
      <c r="Q21" s="114"/>
      <c r="R21" s="114"/>
      <c r="S21" s="114"/>
      <c r="T21" s="114"/>
      <c r="U21" s="114"/>
      <c r="V21" s="114"/>
      <c r="W21" s="114"/>
      <c r="X21" s="114"/>
      <c r="Y21" s="114"/>
      <c r="Z21" s="114"/>
      <c r="AB21" s="76"/>
      <c r="AC21" s="76"/>
      <c r="AD21" s="76"/>
      <c r="AE21" s="76"/>
      <c r="AF21" s="76"/>
      <c r="AG21" s="76"/>
      <c r="AH21" s="76"/>
      <c r="AI21" s="76"/>
      <c r="AJ21" s="76"/>
      <c r="AK21" s="76"/>
      <c r="AN21" s="114"/>
      <c r="AO21" s="115"/>
      <c r="AP21" s="115"/>
      <c r="AQ21" s="115"/>
      <c r="AR21" s="114"/>
      <c r="AS21" s="114"/>
      <c r="AT21" s="114"/>
      <c r="AU21" s="114"/>
      <c r="AV21" s="114"/>
      <c r="AW21" s="114"/>
      <c r="AX21" s="114"/>
      <c r="AY21" s="114"/>
      <c r="AZ21" s="114"/>
      <c r="BA21" s="117"/>
      <c r="BB21" s="76"/>
      <c r="BC21" s="76"/>
      <c r="BD21" s="76"/>
      <c r="BE21" s="76"/>
      <c r="BF21" s="76"/>
      <c r="BG21" s="76"/>
      <c r="BH21" s="76"/>
      <c r="BI21" s="76"/>
      <c r="BJ21" s="76"/>
      <c r="BK21" s="76"/>
      <c r="BL21" s="76"/>
      <c r="BM21" s="76"/>
      <c r="BN21" s="76"/>
      <c r="BO21" s="76"/>
      <c r="BP21" s="76"/>
      <c r="BQ21" s="76"/>
      <c r="BR21" s="76"/>
      <c r="BS21" s="76"/>
      <c r="BT21" s="76"/>
    </row>
    <row r="22" spans="1:213" ht="12" customHeight="1">
      <c r="A22" s="14" t="s">
        <v>202</v>
      </c>
      <c r="G22" s="76"/>
      <c r="H22" s="76"/>
      <c r="I22" s="76"/>
      <c r="M22" s="113"/>
      <c r="N22" s="115">
        <v>13</v>
      </c>
      <c r="O22" s="115">
        <v>2880</v>
      </c>
      <c r="P22" s="115">
        <v>2944</v>
      </c>
      <c r="Q22" s="114"/>
      <c r="R22" s="114"/>
      <c r="S22" s="114"/>
      <c r="T22" s="114"/>
      <c r="U22" s="114"/>
      <c r="V22" s="114"/>
      <c r="W22" s="114"/>
      <c r="X22" s="114"/>
      <c r="Y22" s="114"/>
      <c r="Z22" s="114"/>
      <c r="AB22" s="14" t="s">
        <v>237</v>
      </c>
      <c r="AC22" s="76"/>
      <c r="AD22" s="76"/>
      <c r="AE22" s="76"/>
      <c r="AF22" s="76"/>
      <c r="AG22" s="76"/>
      <c r="AH22" s="76"/>
      <c r="AI22" s="76"/>
      <c r="AJ22" s="76"/>
      <c r="AK22" s="76"/>
      <c r="AN22" s="114"/>
      <c r="AO22" s="115"/>
      <c r="AP22" s="115"/>
      <c r="AQ22" s="115"/>
      <c r="AR22" s="114"/>
      <c r="AS22" s="114"/>
      <c r="AT22" s="114"/>
      <c r="AU22" s="114"/>
      <c r="AV22" s="114"/>
      <c r="AW22" s="114"/>
      <c r="AX22" s="114"/>
      <c r="AY22" s="114"/>
      <c r="AZ22" s="114"/>
      <c r="BA22" s="117"/>
      <c r="BB22" s="76"/>
      <c r="BC22" s="76"/>
      <c r="BD22" s="76"/>
      <c r="BE22" s="76"/>
      <c r="BF22" s="76"/>
      <c r="BG22" s="76"/>
      <c r="BH22" s="76"/>
      <c r="BI22" s="76"/>
      <c r="BJ22" s="76"/>
      <c r="BK22" s="76"/>
      <c r="BL22" s="76"/>
      <c r="BM22" s="76"/>
      <c r="BN22" s="76"/>
      <c r="BO22" s="76"/>
      <c r="BP22" s="76"/>
      <c r="BQ22" s="76"/>
      <c r="BR22" s="76"/>
      <c r="BS22" s="76"/>
      <c r="BT22" s="76"/>
    </row>
    <row r="23" spans="1:213" ht="12" customHeight="1" thickBot="1">
      <c r="J23" s="36"/>
      <c r="K23" s="36"/>
      <c r="L23" s="36"/>
      <c r="M23" s="113"/>
      <c r="N23" s="115">
        <v>14</v>
      </c>
      <c r="O23" s="115">
        <v>3120</v>
      </c>
      <c r="P23" s="115">
        <v>3200</v>
      </c>
      <c r="Q23" s="114"/>
      <c r="R23" s="114"/>
      <c r="S23" s="114"/>
      <c r="T23" s="114"/>
      <c r="U23" s="114"/>
      <c r="V23" s="114"/>
      <c r="W23" s="114"/>
      <c r="X23" s="114"/>
      <c r="Y23" s="114"/>
      <c r="Z23" s="114"/>
      <c r="AB23" s="76"/>
      <c r="AC23" s="76"/>
      <c r="AD23" s="76"/>
      <c r="AE23" s="76"/>
      <c r="AF23" s="76"/>
      <c r="AG23" s="76"/>
      <c r="AH23" s="76"/>
      <c r="AI23" s="76"/>
      <c r="AJ23" s="76"/>
      <c r="AK23" s="76"/>
      <c r="AN23" s="114"/>
      <c r="AO23" s="115"/>
      <c r="AP23" s="115"/>
      <c r="AQ23" s="115"/>
      <c r="AR23" s="114"/>
      <c r="AS23" s="114"/>
      <c r="AT23" s="114"/>
      <c r="AU23" s="114"/>
      <c r="AV23" s="114"/>
      <c r="AW23" s="114"/>
      <c r="AX23" s="114"/>
      <c r="AY23" s="114"/>
      <c r="AZ23" s="114"/>
      <c r="BA23" s="117"/>
      <c r="BB23" s="76"/>
      <c r="BC23" s="76"/>
      <c r="BD23" s="76"/>
      <c r="BE23" s="76"/>
      <c r="BF23" s="76"/>
      <c r="BG23" s="76"/>
      <c r="BH23" s="76"/>
      <c r="BI23" s="76"/>
      <c r="BJ23" s="76"/>
      <c r="BK23" s="76"/>
      <c r="BL23" s="76"/>
      <c r="BM23" s="76"/>
      <c r="BN23" s="76"/>
      <c r="BO23" s="76"/>
      <c r="BP23" s="76"/>
      <c r="BQ23" s="76"/>
      <c r="BR23" s="76"/>
      <c r="BS23" s="76"/>
      <c r="BT23" s="76"/>
    </row>
    <row r="24" spans="1:213" ht="12" customHeight="1">
      <c r="A24" s="271" t="s">
        <v>64</v>
      </c>
      <c r="B24" s="272"/>
      <c r="C24" s="273"/>
      <c r="D24" s="36"/>
      <c r="E24" s="36"/>
      <c r="F24" s="36"/>
      <c r="G24" s="36"/>
      <c r="H24" s="36"/>
      <c r="I24" s="36"/>
      <c r="M24" s="113"/>
      <c r="N24" s="115">
        <v>15</v>
      </c>
      <c r="O24" s="115">
        <v>3360</v>
      </c>
      <c r="P24" s="115">
        <v>3456</v>
      </c>
      <c r="Q24" s="114"/>
      <c r="R24" s="114"/>
      <c r="S24" s="114"/>
      <c r="T24" s="114"/>
      <c r="U24" s="114"/>
      <c r="V24" s="114"/>
      <c r="W24" s="114"/>
      <c r="X24" s="114"/>
      <c r="Y24" s="114"/>
      <c r="Z24" s="114"/>
      <c r="AB24" s="271" t="s">
        <v>64</v>
      </c>
      <c r="AC24" s="272"/>
      <c r="AD24" s="273"/>
      <c r="AE24" s="76"/>
      <c r="AF24" s="76"/>
      <c r="AG24" s="76"/>
      <c r="AH24" s="76"/>
      <c r="AI24" s="76"/>
      <c r="AJ24" s="76"/>
      <c r="AK24" s="76"/>
      <c r="AN24" s="114"/>
      <c r="AO24" s="115"/>
      <c r="AP24" s="115"/>
      <c r="AQ24" s="115"/>
      <c r="AR24" s="114"/>
      <c r="AS24" s="114"/>
      <c r="AT24" s="114"/>
      <c r="AU24" s="114"/>
      <c r="AV24" s="114"/>
      <c r="AW24" s="114"/>
      <c r="AX24" s="114"/>
      <c r="AY24" s="114"/>
      <c r="AZ24" s="114"/>
      <c r="BA24" s="117"/>
      <c r="BB24" s="76"/>
      <c r="BC24" s="76"/>
      <c r="BD24" s="76"/>
      <c r="BE24" s="76"/>
      <c r="BF24" s="76"/>
      <c r="BG24" s="76"/>
      <c r="BH24" s="76"/>
      <c r="BI24" s="76"/>
      <c r="BJ24" s="76"/>
      <c r="BK24" s="76"/>
      <c r="BL24" s="76"/>
      <c r="BM24" s="76"/>
      <c r="BN24" s="76"/>
      <c r="BO24" s="76"/>
      <c r="BP24" s="76"/>
      <c r="BQ24" s="76"/>
      <c r="BR24" s="76"/>
      <c r="BS24" s="76"/>
      <c r="BT24" s="76"/>
    </row>
    <row r="25" spans="1:213" ht="12" customHeight="1" thickBot="1">
      <c r="A25" s="269" t="s">
        <v>118</v>
      </c>
      <c r="B25" s="257"/>
      <c r="C25" s="270"/>
      <c r="D25" s="36"/>
      <c r="E25" s="36"/>
      <c r="F25" s="36"/>
      <c r="G25" s="36"/>
      <c r="H25" s="36"/>
      <c r="I25" s="36"/>
      <c r="M25" s="113"/>
      <c r="N25" s="115">
        <v>16</v>
      </c>
      <c r="O25" s="115">
        <v>3600</v>
      </c>
      <c r="P25" s="115">
        <v>3712</v>
      </c>
      <c r="Q25" s="114"/>
      <c r="R25" s="114"/>
      <c r="S25" s="114"/>
      <c r="T25" s="114"/>
      <c r="U25" s="114"/>
      <c r="V25" s="114"/>
      <c r="W25" s="114"/>
      <c r="X25" s="114"/>
      <c r="Y25" s="114"/>
      <c r="Z25" s="114"/>
      <c r="AB25" s="269" t="s">
        <v>118</v>
      </c>
      <c r="AC25" s="257"/>
      <c r="AD25" s="270"/>
      <c r="AE25" s="36"/>
      <c r="AF25" s="36"/>
      <c r="AG25" s="36"/>
      <c r="AH25" s="36"/>
      <c r="AI25" s="36"/>
      <c r="AJ25" s="36"/>
      <c r="AK25" s="76"/>
      <c r="AN25" s="114"/>
      <c r="AO25" s="115"/>
      <c r="AP25" s="115"/>
      <c r="AQ25" s="115"/>
      <c r="AR25" s="114"/>
      <c r="AS25" s="114"/>
      <c r="AT25" s="114"/>
      <c r="AU25" s="114"/>
      <c r="AV25" s="114"/>
      <c r="AW25" s="114"/>
      <c r="AX25" s="114"/>
      <c r="AY25" s="114"/>
      <c r="AZ25" s="114"/>
      <c r="BA25" s="117"/>
      <c r="BB25" s="76"/>
      <c r="BC25" s="76"/>
      <c r="BD25" s="76"/>
      <c r="BE25" s="76"/>
      <c r="BF25" s="76"/>
      <c r="BG25" s="76"/>
      <c r="BH25" s="76"/>
      <c r="BI25" s="76"/>
      <c r="BJ25" s="76"/>
      <c r="BK25" s="76"/>
      <c r="BL25" s="76"/>
      <c r="BM25" s="76"/>
      <c r="BN25" s="76"/>
      <c r="BO25" s="76"/>
      <c r="BP25" s="76"/>
      <c r="BQ25" s="76"/>
      <c r="BR25" s="76"/>
      <c r="BS25" s="76"/>
      <c r="BT25" s="76"/>
    </row>
    <row r="26" spans="1:213" ht="12" customHeight="1">
      <c r="A26" s="525"/>
      <c r="B26" s="526"/>
      <c r="C26" s="526"/>
      <c r="D26" s="526"/>
      <c r="E26" s="526"/>
      <c r="F26" s="526"/>
      <c r="G26" s="526"/>
      <c r="H26" s="526"/>
      <c r="I26" s="527"/>
      <c r="M26" s="113"/>
      <c r="N26" s="115">
        <v>17</v>
      </c>
      <c r="O26" s="115">
        <v>3840</v>
      </c>
      <c r="P26" s="115">
        <v>3968</v>
      </c>
      <c r="Q26" s="114"/>
      <c r="R26" s="114"/>
      <c r="S26" s="114"/>
      <c r="T26" s="114"/>
      <c r="U26" s="114"/>
      <c r="V26" s="114"/>
      <c r="W26" s="114"/>
      <c r="X26" s="114"/>
      <c r="Y26" s="114"/>
      <c r="Z26" s="114"/>
      <c r="AB26" s="525"/>
      <c r="AC26" s="534"/>
      <c r="AD26" s="534"/>
      <c r="AE26" s="534"/>
      <c r="AF26" s="534"/>
      <c r="AG26" s="534"/>
      <c r="AH26" s="534"/>
      <c r="AI26" s="534"/>
      <c r="AJ26" s="535"/>
      <c r="AK26" s="76"/>
      <c r="AN26" s="114"/>
      <c r="AO26" s="115"/>
      <c r="AP26" s="115"/>
      <c r="AQ26" s="115"/>
      <c r="AR26" s="114"/>
      <c r="AS26" s="114"/>
      <c r="AT26" s="114"/>
      <c r="AU26" s="114"/>
      <c r="AV26" s="114"/>
      <c r="AW26" s="114"/>
      <c r="AX26" s="114"/>
      <c r="AY26" s="114"/>
      <c r="AZ26" s="114"/>
      <c r="BA26" s="117"/>
      <c r="BB26" s="76"/>
      <c r="BC26" s="76"/>
      <c r="BD26" s="76"/>
      <c r="BE26" s="76"/>
      <c r="BF26" s="76"/>
      <c r="BG26" s="76"/>
      <c r="BH26" s="76"/>
      <c r="BI26" s="76"/>
      <c r="BJ26" s="76"/>
      <c r="BK26" s="76"/>
      <c r="BL26" s="76"/>
      <c r="BM26" s="76"/>
      <c r="BN26" s="76"/>
      <c r="BO26" s="76"/>
      <c r="BP26" s="76"/>
      <c r="BQ26" s="76"/>
      <c r="BR26" s="76"/>
      <c r="BS26" s="76"/>
      <c r="BT26" s="76"/>
    </row>
    <row r="27" spans="1:213" ht="12" customHeight="1">
      <c r="A27" s="528"/>
      <c r="B27" s="529"/>
      <c r="C27" s="529"/>
      <c r="D27" s="529"/>
      <c r="E27" s="529"/>
      <c r="F27" s="529"/>
      <c r="G27" s="529"/>
      <c r="H27" s="529"/>
      <c r="I27" s="530"/>
      <c r="M27" s="113"/>
      <c r="N27" s="115">
        <v>18</v>
      </c>
      <c r="O27" s="115">
        <v>4080</v>
      </c>
      <c r="P27" s="115">
        <v>4095</v>
      </c>
      <c r="Q27" s="114"/>
      <c r="R27" s="114"/>
      <c r="S27" s="114"/>
      <c r="T27" s="114"/>
      <c r="U27" s="114"/>
      <c r="V27" s="114"/>
      <c r="W27" s="114"/>
      <c r="X27" s="114"/>
      <c r="Y27" s="114"/>
      <c r="Z27" s="114"/>
      <c r="AB27" s="536"/>
      <c r="AC27" s="537"/>
      <c r="AD27" s="537"/>
      <c r="AE27" s="537"/>
      <c r="AF27" s="537"/>
      <c r="AG27" s="537"/>
      <c r="AH27" s="537"/>
      <c r="AI27" s="537"/>
      <c r="AJ27" s="538"/>
      <c r="AK27" s="76"/>
      <c r="AN27" s="114"/>
      <c r="AO27" s="114"/>
      <c r="AP27" s="114"/>
      <c r="AQ27" s="115"/>
      <c r="AR27" s="114"/>
      <c r="AS27" s="114"/>
      <c r="AT27" s="114"/>
      <c r="AU27" s="114"/>
      <c r="AV27" s="114"/>
      <c r="AW27" s="114"/>
      <c r="AX27" s="114"/>
      <c r="AY27" s="114"/>
      <c r="AZ27" s="114"/>
      <c r="BA27" s="117"/>
      <c r="BB27" s="76"/>
      <c r="BC27" s="76"/>
      <c r="BD27" s="76"/>
      <c r="BE27" s="76"/>
      <c r="BF27" s="76"/>
      <c r="BG27" s="76"/>
      <c r="BH27" s="76"/>
      <c r="BI27" s="76"/>
      <c r="BJ27" s="76"/>
      <c r="BK27" s="76"/>
      <c r="BL27" s="76"/>
      <c r="BM27" s="76"/>
      <c r="BN27" s="76"/>
      <c r="BO27" s="76"/>
      <c r="BP27" s="76"/>
      <c r="BQ27" s="76"/>
      <c r="BR27" s="76"/>
      <c r="BS27" s="76"/>
      <c r="BT27" s="76"/>
    </row>
    <row r="28" spans="1:213" ht="12" customHeight="1">
      <c r="A28" s="528"/>
      <c r="B28" s="529"/>
      <c r="C28" s="529"/>
      <c r="D28" s="529"/>
      <c r="E28" s="529"/>
      <c r="F28" s="529"/>
      <c r="G28" s="529"/>
      <c r="H28" s="529"/>
      <c r="I28" s="530"/>
      <c r="M28" s="113"/>
      <c r="N28" s="114"/>
      <c r="O28" s="114"/>
      <c r="P28" s="114"/>
      <c r="Q28" s="114"/>
      <c r="R28" s="114"/>
      <c r="S28" s="114"/>
      <c r="T28" s="114"/>
      <c r="U28" s="114"/>
      <c r="V28" s="114"/>
      <c r="W28" s="114"/>
      <c r="X28" s="114"/>
      <c r="Y28" s="114"/>
      <c r="Z28" s="114"/>
      <c r="AB28" s="536"/>
      <c r="AC28" s="537"/>
      <c r="AD28" s="537"/>
      <c r="AE28" s="537"/>
      <c r="AF28" s="537"/>
      <c r="AG28" s="537"/>
      <c r="AH28" s="537"/>
      <c r="AI28" s="537"/>
      <c r="AJ28" s="538"/>
      <c r="AK28" s="76"/>
      <c r="AN28" s="114"/>
      <c r="AO28" s="114"/>
      <c r="AP28" s="114"/>
      <c r="AQ28" s="114"/>
      <c r="AR28" s="114"/>
      <c r="AS28" s="114"/>
      <c r="AT28" s="114"/>
      <c r="AU28" s="114"/>
      <c r="AV28" s="114"/>
      <c r="AW28" s="114"/>
      <c r="AX28" s="114"/>
      <c r="AY28" s="114"/>
      <c r="AZ28" s="114"/>
      <c r="BA28" s="117"/>
      <c r="BB28" s="76"/>
      <c r="BC28" s="76"/>
      <c r="BD28" s="76"/>
      <c r="BE28" s="76"/>
      <c r="BF28" s="76"/>
      <c r="BG28" s="76"/>
      <c r="BH28" s="76"/>
      <c r="BI28" s="76"/>
      <c r="BJ28" s="76"/>
      <c r="BK28" s="76"/>
      <c r="BL28" s="76"/>
      <c r="BM28" s="76"/>
      <c r="BN28" s="76"/>
      <c r="BO28" s="76"/>
      <c r="BP28" s="76"/>
      <c r="BQ28" s="76"/>
      <c r="BR28" s="76"/>
      <c r="BS28" s="76"/>
      <c r="BT28" s="76"/>
    </row>
    <row r="29" spans="1:213" ht="12" customHeight="1">
      <c r="A29" s="528"/>
      <c r="B29" s="529"/>
      <c r="C29" s="529"/>
      <c r="D29" s="529"/>
      <c r="E29" s="529"/>
      <c r="F29" s="529"/>
      <c r="G29" s="529"/>
      <c r="H29" s="529"/>
      <c r="I29" s="530"/>
      <c r="M29" s="113"/>
      <c r="N29" s="114"/>
      <c r="O29" s="114"/>
      <c r="P29" s="114"/>
      <c r="Q29" s="114"/>
      <c r="R29" s="114"/>
      <c r="S29" s="114"/>
      <c r="T29" s="114"/>
      <c r="U29" s="114"/>
      <c r="V29" s="114"/>
      <c r="W29" s="114"/>
      <c r="X29" s="114"/>
      <c r="Y29" s="114"/>
      <c r="Z29" s="115"/>
      <c r="AB29" s="536"/>
      <c r="AC29" s="537"/>
      <c r="AD29" s="537"/>
      <c r="AE29" s="537"/>
      <c r="AF29" s="537"/>
      <c r="AG29" s="537"/>
      <c r="AH29" s="537"/>
      <c r="AI29" s="537"/>
      <c r="AJ29" s="538"/>
      <c r="AK29" s="76"/>
      <c r="AN29" s="114"/>
      <c r="AO29" s="114"/>
      <c r="AP29" s="114"/>
      <c r="AQ29" s="114"/>
      <c r="AR29" s="114"/>
      <c r="AS29" s="114"/>
      <c r="AT29" s="114"/>
      <c r="AU29" s="114"/>
      <c r="AV29" s="114"/>
      <c r="AW29" s="114"/>
      <c r="AX29" s="114"/>
      <c r="AY29" s="114"/>
      <c r="AZ29" s="114"/>
      <c r="BA29" s="117"/>
      <c r="BB29" s="76"/>
      <c r="BC29" s="76"/>
      <c r="BD29" s="76"/>
      <c r="BE29" s="76"/>
      <c r="BF29" s="76"/>
      <c r="BG29" s="76"/>
      <c r="BH29" s="76"/>
      <c r="BI29" s="76"/>
      <c r="BJ29" s="76"/>
      <c r="BK29" s="76"/>
      <c r="BL29" s="76"/>
      <c r="BM29" s="76"/>
      <c r="BN29" s="76"/>
      <c r="BO29" s="76"/>
      <c r="BP29" s="76"/>
      <c r="BQ29" s="76"/>
      <c r="BR29" s="76"/>
      <c r="BS29" s="76"/>
      <c r="BT29" s="76"/>
    </row>
    <row r="30" spans="1:213" ht="12" customHeight="1">
      <c r="A30" s="528"/>
      <c r="B30" s="529"/>
      <c r="C30" s="529"/>
      <c r="D30" s="529"/>
      <c r="E30" s="529"/>
      <c r="F30" s="529"/>
      <c r="G30" s="529"/>
      <c r="H30" s="529"/>
      <c r="I30" s="530"/>
      <c r="M30" s="121" t="s">
        <v>0</v>
      </c>
      <c r="N30" s="115"/>
      <c r="O30" s="115"/>
      <c r="P30" s="115"/>
      <c r="Q30" s="115"/>
      <c r="R30" s="115"/>
      <c r="S30" s="115"/>
      <c r="T30" s="115"/>
      <c r="U30" s="115"/>
      <c r="V30" s="115"/>
      <c r="W30" s="115"/>
      <c r="X30" s="115"/>
      <c r="Y30" s="115"/>
      <c r="Z30" s="115"/>
      <c r="AB30" s="536"/>
      <c r="AC30" s="537"/>
      <c r="AD30" s="537"/>
      <c r="AE30" s="537"/>
      <c r="AF30" s="537"/>
      <c r="AG30" s="537"/>
      <c r="AH30" s="537"/>
      <c r="AI30" s="537"/>
      <c r="AJ30" s="538"/>
      <c r="AK30" s="76"/>
      <c r="AN30" s="147" t="s">
        <v>0</v>
      </c>
      <c r="AO30" s="115"/>
      <c r="AP30" s="115"/>
      <c r="AQ30" s="115"/>
      <c r="AR30" s="115"/>
      <c r="AS30" s="115"/>
      <c r="AT30" s="115"/>
      <c r="AU30" s="115"/>
      <c r="AV30" s="115"/>
      <c r="AW30" s="115"/>
      <c r="AX30" s="115"/>
      <c r="AY30" s="115"/>
      <c r="AZ30" s="115"/>
      <c r="BA30" s="120"/>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row>
    <row r="31" spans="1:213" ht="12" customHeight="1" thickBot="1">
      <c r="A31" s="531"/>
      <c r="B31" s="532"/>
      <c r="C31" s="532"/>
      <c r="D31" s="532"/>
      <c r="E31" s="532"/>
      <c r="F31" s="532"/>
      <c r="G31" s="532"/>
      <c r="H31" s="532"/>
      <c r="I31" s="533"/>
      <c r="M31" s="547" t="s">
        <v>38</v>
      </c>
      <c r="N31" s="542"/>
      <c r="O31" s="122" t="s">
        <v>1</v>
      </c>
      <c r="P31" s="122" t="s">
        <v>2</v>
      </c>
      <c r="Q31" s="122" t="s">
        <v>3</v>
      </c>
      <c r="R31" s="542" t="s">
        <v>3</v>
      </c>
      <c r="S31" s="542"/>
      <c r="T31" s="542" t="s">
        <v>2</v>
      </c>
      <c r="U31" s="542"/>
      <c r="V31" s="542" t="s">
        <v>9</v>
      </c>
      <c r="W31" s="542"/>
      <c r="X31" s="542"/>
      <c r="Y31" s="122" t="s">
        <v>11</v>
      </c>
      <c r="Z31" s="115"/>
      <c r="AB31" s="539"/>
      <c r="AC31" s="540"/>
      <c r="AD31" s="540"/>
      <c r="AE31" s="540"/>
      <c r="AF31" s="540"/>
      <c r="AG31" s="540"/>
      <c r="AH31" s="540"/>
      <c r="AI31" s="540"/>
      <c r="AJ31" s="541"/>
      <c r="AK31" s="76"/>
      <c r="AN31" s="547" t="s">
        <v>38</v>
      </c>
      <c r="AO31" s="542"/>
      <c r="AP31" s="122" t="s">
        <v>1</v>
      </c>
      <c r="AQ31" s="122" t="s">
        <v>2</v>
      </c>
      <c r="AR31" s="122" t="s">
        <v>3</v>
      </c>
      <c r="AS31" s="542" t="s">
        <v>3</v>
      </c>
      <c r="AT31" s="542"/>
      <c r="AU31" s="542" t="s">
        <v>2</v>
      </c>
      <c r="AV31" s="542"/>
      <c r="AW31" s="542" t="s">
        <v>9</v>
      </c>
      <c r="AX31" s="542"/>
      <c r="AY31" s="542"/>
      <c r="AZ31" s="122" t="s">
        <v>11</v>
      </c>
      <c r="BA31" s="120"/>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row>
    <row r="32" spans="1:213" ht="12" customHeight="1">
      <c r="A32" s="1"/>
      <c r="C32" s="191"/>
      <c r="D32" s="194"/>
      <c r="E32" s="193" t="s">
        <v>176</v>
      </c>
      <c r="F32" s="78">
        <f>'5.1 Betragtningsforhold'!$H$10</f>
        <v>0</v>
      </c>
      <c r="H32" s="76"/>
      <c r="I32" s="76"/>
      <c r="J32" s="76"/>
      <c r="L32" s="76"/>
      <c r="M32" s="123" t="str">
        <f t="shared" ref="M32:M50" si="1">A35</f>
        <v>TG18-LN</v>
      </c>
      <c r="N32" s="124" t="s">
        <v>4</v>
      </c>
      <c r="O32" s="124" t="s">
        <v>5</v>
      </c>
      <c r="P32" s="124" t="s">
        <v>6</v>
      </c>
      <c r="Q32" s="125"/>
      <c r="R32" s="126" t="str">
        <f>"+" &amp; Tol_kontrastrespons*100 &amp; "%"</f>
        <v>+15%</v>
      </c>
      <c r="S32" s="126" t="str">
        <f>"-" &amp; Tol_kontrastrespons*100 &amp; "%"</f>
        <v>-15%</v>
      </c>
      <c r="T32" s="126" t="str">
        <f>"+" &amp; Tol_kontrastrespons*100 &amp; "%"</f>
        <v>+15%</v>
      </c>
      <c r="U32" s="126" t="str">
        <f>"-" &amp; Tol_kontrastrespons*100 &amp; "%"</f>
        <v>-15%</v>
      </c>
      <c r="V32" s="127">
        <v>0</v>
      </c>
      <c r="W32" s="126" t="str">
        <f>"+" &amp; Tol_kontrastrespons*100 &amp; "%"</f>
        <v>+15%</v>
      </c>
      <c r="X32" s="126" t="str">
        <f>"-" &amp; Tol_kontrastrespons*100 &amp; "%"</f>
        <v>-15%</v>
      </c>
      <c r="Y32" s="124" t="s">
        <v>2</v>
      </c>
      <c r="Z32" s="115"/>
      <c r="AB32" s="1"/>
      <c r="AC32" s="76"/>
      <c r="AD32" s="191"/>
      <c r="AE32" s="194"/>
      <c r="AF32" s="193" t="s">
        <v>176</v>
      </c>
      <c r="AG32" s="78">
        <f>'5.1 Betragtningsforhold'!$H$10</f>
        <v>0</v>
      </c>
      <c r="AH32" s="76"/>
      <c r="AI32" s="76"/>
      <c r="AJ32" s="76"/>
      <c r="AK32" s="76"/>
      <c r="AN32" s="124" t="str">
        <f t="shared" ref="AN32:AN43" si="2">AB35</f>
        <v>SMPTE</v>
      </c>
      <c r="AO32" s="124" t="s">
        <v>4</v>
      </c>
      <c r="AP32" s="124" t="s">
        <v>5</v>
      </c>
      <c r="AQ32" s="124" t="s">
        <v>6</v>
      </c>
      <c r="AR32" s="125"/>
      <c r="AS32" s="126" t="str">
        <f>"+" &amp; Tol_kontrastrespons*100 &amp; "%"</f>
        <v>+15%</v>
      </c>
      <c r="AT32" s="126" t="str">
        <f>"-" &amp; Tol_kontrastrespons*100 &amp; "%"</f>
        <v>-15%</v>
      </c>
      <c r="AU32" s="126" t="str">
        <f>"+" &amp; Tol_kontrastrespons*100 &amp; "%"</f>
        <v>+15%</v>
      </c>
      <c r="AV32" s="126" t="str">
        <f>"-" &amp; Tol_kontrastrespons*100 &amp; "%"</f>
        <v>-15%</v>
      </c>
      <c r="AW32" s="127">
        <v>0</v>
      </c>
      <c r="AX32" s="126" t="str">
        <f>"+" &amp; Tol_kontrastrespons*100 &amp; "%"</f>
        <v>+15%</v>
      </c>
      <c r="AY32" s="126" t="str">
        <f>"-" &amp; Tol_kontrastrespons*100 &amp; "%"</f>
        <v>-15%</v>
      </c>
      <c r="AZ32" s="124" t="s">
        <v>2</v>
      </c>
      <c r="BA32" s="120"/>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5"/>
      <c r="GN32" s="5"/>
      <c r="GO32" s="5"/>
      <c r="GP32" s="5"/>
      <c r="GQ32" s="5"/>
      <c r="GR32" s="5"/>
      <c r="GS32" s="5"/>
      <c r="GT32" s="5"/>
      <c r="GU32" s="5"/>
      <c r="GV32" s="5"/>
      <c r="GW32" s="5"/>
      <c r="GX32" s="5"/>
      <c r="GY32" s="5"/>
      <c r="GZ32" s="5"/>
      <c r="HA32" s="5"/>
      <c r="HB32" s="5"/>
    </row>
    <row r="33" spans="1:210" ht="12" customHeight="1">
      <c r="B33" s="195"/>
      <c r="C33" s="196"/>
      <c r="D33" s="197"/>
      <c r="E33" s="198" t="s">
        <v>177</v>
      </c>
      <c r="F33" s="79">
        <f>IF(F32="","",Reflektionskoefficient*F32)</f>
        <v>0</v>
      </c>
      <c r="G33" s="4"/>
      <c r="M33" s="128">
        <f t="shared" si="1"/>
        <v>1</v>
      </c>
      <c r="N33" s="115">
        <f t="shared" ref="N33:N50" si="3">B36</f>
        <v>0</v>
      </c>
      <c r="O33" s="129" t="e">
        <f>D36</f>
        <v>#N/A</v>
      </c>
      <c r="P33" s="129" t="e">
        <f>iA_+iB_*LOG10(O33)+iC_*LOG10(O33)^2+iD_*LOG10(O33)^3+iE_*LOG10(O33)^4+iF_*LOG10(O33)^5+iG_*LOG10(O33)^6+iH_*LOG10(O33)^7+iI_*LOG10(O33)^8</f>
        <v>#N/A</v>
      </c>
      <c r="Q33" s="130"/>
      <c r="R33" s="130"/>
      <c r="S33" s="130"/>
      <c r="T33" s="131" t="e">
        <f t="shared" ref="T33:T50" si="4">P33*(1+Tol_kontrastrespons)</f>
        <v>#N/A</v>
      </c>
      <c r="U33" s="131" t="e">
        <f t="shared" ref="U33:U50" si="5">P33*(1-Tol_kontrastrespons)</f>
        <v>#N/A</v>
      </c>
      <c r="V33" s="132"/>
      <c r="W33" s="132"/>
      <c r="X33" s="132"/>
      <c r="Y33" s="130"/>
      <c r="Z33" s="115"/>
      <c r="AC33" s="195"/>
      <c r="AD33" s="196"/>
      <c r="AE33" s="197"/>
      <c r="AF33" s="198" t="s">
        <v>177</v>
      </c>
      <c r="AG33" s="79">
        <f>IF(AG32="","",Reflektionskoefficient*AG32)</f>
        <v>0</v>
      </c>
      <c r="AH33" s="4"/>
      <c r="AI33" s="76"/>
      <c r="AJ33" s="76"/>
      <c r="AK33" s="76"/>
      <c r="AN33" s="145">
        <f t="shared" si="2"/>
        <v>0</v>
      </c>
      <c r="AO33" s="115">
        <f t="shared" ref="AO33:AO43" si="6">AC36</f>
        <v>0</v>
      </c>
      <c r="AP33" s="129" t="e">
        <f>AE36</f>
        <v>#N/A</v>
      </c>
      <c r="AQ33" s="129" t="e">
        <f>iA_+iB_*LOG10(AP33)+iC_*LOG10(AP33)^2+iD_*LOG10(AP33)^3+iE_*LOG10(AP33)^4+iF_*LOG10(AP33)^5+iG_*LOG10(AP33)^6+iH_*LOG10(AP33)^7+iI_*LOG10(AP33)^8</f>
        <v>#N/A</v>
      </c>
      <c r="AR33" s="130"/>
      <c r="AS33" s="130"/>
      <c r="AT33" s="130"/>
      <c r="AU33" s="131" t="e">
        <f t="shared" ref="AU33:AU43" si="7">AQ33*(1+Tol_kontrastrespons)</f>
        <v>#N/A</v>
      </c>
      <c r="AV33" s="131" t="e">
        <f t="shared" ref="AV33:AV43" si="8">AQ33*(1-Tol_kontrastrespons)</f>
        <v>#N/A</v>
      </c>
      <c r="AW33" s="132"/>
      <c r="AX33" s="132"/>
      <c r="AY33" s="132"/>
      <c r="AZ33" s="130"/>
      <c r="BA33" s="120"/>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row>
    <row r="34" spans="1:210" ht="12" customHeight="1">
      <c r="A34" s="543" t="s">
        <v>125</v>
      </c>
      <c r="B34" s="544"/>
      <c r="C34" s="545" t="s">
        <v>201</v>
      </c>
      <c r="D34" s="546"/>
      <c r="E34" s="170" t="s">
        <v>2</v>
      </c>
      <c r="F34" s="171" t="s">
        <v>3</v>
      </c>
      <c r="G34" s="172" t="s">
        <v>39</v>
      </c>
      <c r="H34" s="173" t="s">
        <v>168</v>
      </c>
      <c r="I34" s="171" t="s">
        <v>169</v>
      </c>
      <c r="M34" s="128">
        <f t="shared" si="1"/>
        <v>2</v>
      </c>
      <c r="N34" s="115">
        <f t="shared" si="3"/>
        <v>240</v>
      </c>
      <c r="O34" s="131" t="e">
        <f t="shared" ref="O34:O49" si="9">10^((a_+c_*LN(P34)+e_*LN(P34)^2+g_*LN(P34)^3+m_*LN(P34)^4)/(1+b_*LN(P34)+d_*LN(P34)^2+f_*LN(P34)^3+h_*LN(P34)^4+k_*LN(P34)^5))</f>
        <v>#N/A</v>
      </c>
      <c r="P34" s="131" t="e">
        <f>$O$53*N34+$O$54</f>
        <v>#N/A</v>
      </c>
      <c r="Q34" s="131" t="e">
        <f>(O34-O33)/(0.5*(O34+O33))</f>
        <v>#N/A</v>
      </c>
      <c r="R34" s="131" t="e">
        <f t="shared" ref="R34:R50" si="10">Q34*(1+Tol_kontrastrespons)</f>
        <v>#N/A</v>
      </c>
      <c r="S34" s="131" t="e">
        <f t="shared" ref="S34:S50" si="11">Q34*(1-Tol_kontrastrespons)</f>
        <v>#N/A</v>
      </c>
      <c r="T34" s="131" t="e">
        <f t="shared" si="4"/>
        <v>#N/A</v>
      </c>
      <c r="U34" s="131" t="e">
        <f t="shared" si="5"/>
        <v>#N/A</v>
      </c>
      <c r="V34" s="133" t="e">
        <f>Q34/(P34-P33)</f>
        <v>#N/A</v>
      </c>
      <c r="W34" s="133" t="e">
        <f>R34/(P34-P33)</f>
        <v>#N/A</v>
      </c>
      <c r="X34" s="133" t="e">
        <f>S34/(P34-P33)</f>
        <v>#N/A</v>
      </c>
      <c r="Y34" s="131" t="e">
        <f>(P33+P34)/2</f>
        <v>#N/A</v>
      </c>
      <c r="Z34" s="115"/>
      <c r="AB34" s="543" t="s">
        <v>125</v>
      </c>
      <c r="AC34" s="544"/>
      <c r="AD34" s="545" t="s">
        <v>201</v>
      </c>
      <c r="AE34" s="546"/>
      <c r="AF34" s="170" t="s">
        <v>2</v>
      </c>
      <c r="AG34" s="171" t="s">
        <v>3</v>
      </c>
      <c r="AH34" s="172" t="s">
        <v>39</v>
      </c>
      <c r="AI34" s="173" t="s">
        <v>168</v>
      </c>
      <c r="AJ34" s="171" t="s">
        <v>169</v>
      </c>
      <c r="AK34" s="76"/>
      <c r="AN34" s="145">
        <f t="shared" si="2"/>
        <v>0.1</v>
      </c>
      <c r="AO34" s="115">
        <f t="shared" si="6"/>
        <v>409.5</v>
      </c>
      <c r="AP34" s="131" t="e">
        <f t="shared" ref="AP34:AP42" si="12">10^((a_+c_*LN(AQ34)+e_*LN(AQ34)^2+g_*LN(AQ34)^3+m_*LN(AQ34)^4)/(1+b_*LN(AQ34)+d_*LN(AQ34)^2+f_*LN(AQ34)^3+h_*LN(AQ34)^4+k_*LN(AQ34)^5))</f>
        <v>#N/A</v>
      </c>
      <c r="AQ34" s="131" t="e">
        <f t="shared" ref="AQ34:AQ42" si="13">$AP$46*AO34+$AP$47</f>
        <v>#N/A</v>
      </c>
      <c r="AR34" s="131" t="e">
        <f t="shared" ref="AR34:AR43" si="14">(AP34-AP33)/(0.5*(AP34+AP33))</f>
        <v>#N/A</v>
      </c>
      <c r="AS34" s="131" t="e">
        <f t="shared" ref="AS34:AS43" si="15">AR34*(1+Tol_kontrastrespons)</f>
        <v>#N/A</v>
      </c>
      <c r="AT34" s="131" t="e">
        <f t="shared" ref="AT34:AT43" si="16">AR34*(1-Tol_kontrastrespons)</f>
        <v>#N/A</v>
      </c>
      <c r="AU34" s="131" t="e">
        <f t="shared" si="7"/>
        <v>#N/A</v>
      </c>
      <c r="AV34" s="131" t="e">
        <f t="shared" si="8"/>
        <v>#N/A</v>
      </c>
      <c r="AW34" s="133" t="e">
        <f t="shared" ref="AW34:AW43" si="17">AR34/(AQ34-AQ33)</f>
        <v>#N/A</v>
      </c>
      <c r="AX34" s="133" t="e">
        <f t="shared" ref="AX34:AX43" si="18">AS34/(AQ34-AQ33)</f>
        <v>#N/A</v>
      </c>
      <c r="AY34" s="133" t="e">
        <f t="shared" ref="AY34:AY43" si="19">AT34/(AQ34-AQ33)</f>
        <v>#N/A</v>
      </c>
      <c r="AZ34" s="131" t="e">
        <f t="shared" ref="AZ34:AZ43" si="20">(AQ33+AQ34)/2</f>
        <v>#N/A</v>
      </c>
      <c r="BA34" s="120"/>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c r="GK34" s="5"/>
      <c r="GL34" s="5"/>
      <c r="GM34" s="5"/>
      <c r="GN34" s="5"/>
      <c r="GO34" s="5"/>
      <c r="GP34" s="5"/>
      <c r="GQ34" s="5"/>
      <c r="GR34" s="5"/>
      <c r="GS34" s="5"/>
      <c r="GT34" s="5"/>
      <c r="GU34" s="5"/>
      <c r="GV34" s="5"/>
      <c r="GW34" s="5"/>
      <c r="GX34" s="5"/>
      <c r="GY34" s="5"/>
      <c r="GZ34" s="5"/>
    </row>
    <row r="35" spans="1:210" ht="12" customHeight="1">
      <c r="A35" s="174" t="s">
        <v>12</v>
      </c>
      <c r="B35" s="171" t="s">
        <v>165</v>
      </c>
      <c r="C35" s="174" t="s">
        <v>167</v>
      </c>
      <c r="D35" s="174" t="s">
        <v>166</v>
      </c>
      <c r="E35" s="175" t="s">
        <v>6</v>
      </c>
      <c r="F35" s="176"/>
      <c r="G35" s="177" t="s">
        <v>2</v>
      </c>
      <c r="H35" s="178" t="s">
        <v>2</v>
      </c>
      <c r="I35" s="175" t="s">
        <v>40</v>
      </c>
      <c r="L35" s="17"/>
      <c r="M35" s="128">
        <f t="shared" si="1"/>
        <v>3</v>
      </c>
      <c r="N35" s="115">
        <f t="shared" si="3"/>
        <v>480</v>
      </c>
      <c r="O35" s="131" t="e">
        <f t="shared" si="9"/>
        <v>#N/A</v>
      </c>
      <c r="P35" s="131" t="e">
        <f t="shared" ref="P35:P49" si="21">$O$53*N35+$O$54</f>
        <v>#N/A</v>
      </c>
      <c r="Q35" s="131" t="e">
        <f t="shared" ref="Q35:Q50" si="22">(O35-O34)/(0.5*(O35+O34))</f>
        <v>#N/A</v>
      </c>
      <c r="R35" s="131" t="e">
        <f t="shared" si="10"/>
        <v>#N/A</v>
      </c>
      <c r="S35" s="131" t="e">
        <f t="shared" si="11"/>
        <v>#N/A</v>
      </c>
      <c r="T35" s="131" t="e">
        <f t="shared" si="4"/>
        <v>#N/A</v>
      </c>
      <c r="U35" s="131" t="e">
        <f t="shared" si="5"/>
        <v>#N/A</v>
      </c>
      <c r="V35" s="133" t="e">
        <f t="shared" ref="V35:V50" si="23">Q35/(P35-P34)</f>
        <v>#N/A</v>
      </c>
      <c r="W35" s="133" t="e">
        <f t="shared" ref="W35:W50" si="24">R35/(P35-P34)</f>
        <v>#N/A</v>
      </c>
      <c r="X35" s="133" t="e">
        <f t="shared" ref="X35:X50" si="25">S35/(P35-P34)</f>
        <v>#N/A</v>
      </c>
      <c r="Y35" s="131" t="e">
        <f t="shared" ref="Y35:Y50" si="26">(P34+P35)/2</f>
        <v>#N/A</v>
      </c>
      <c r="Z35" s="115"/>
      <c r="AB35" s="179" t="str">
        <f>AP9</f>
        <v>SMPTE</v>
      </c>
      <c r="AC35" s="171" t="s">
        <v>165</v>
      </c>
      <c r="AD35" s="174" t="s">
        <v>167</v>
      </c>
      <c r="AE35" s="174" t="s">
        <v>166</v>
      </c>
      <c r="AF35" s="175" t="s">
        <v>6</v>
      </c>
      <c r="AG35" s="176"/>
      <c r="AH35" s="177" t="s">
        <v>2</v>
      </c>
      <c r="AI35" s="178" t="s">
        <v>2</v>
      </c>
      <c r="AJ35" s="175" t="s">
        <v>40</v>
      </c>
      <c r="AK35" s="76"/>
      <c r="AM35" s="187"/>
      <c r="AN35" s="145">
        <f t="shared" si="2"/>
        <v>0.2</v>
      </c>
      <c r="AO35" s="115">
        <f t="shared" si="6"/>
        <v>819</v>
      </c>
      <c r="AP35" s="131" t="e">
        <f t="shared" si="12"/>
        <v>#N/A</v>
      </c>
      <c r="AQ35" s="131" t="e">
        <f t="shared" si="13"/>
        <v>#N/A</v>
      </c>
      <c r="AR35" s="131" t="e">
        <f t="shared" si="14"/>
        <v>#N/A</v>
      </c>
      <c r="AS35" s="131" t="e">
        <f t="shared" si="15"/>
        <v>#N/A</v>
      </c>
      <c r="AT35" s="131" t="e">
        <f t="shared" si="16"/>
        <v>#N/A</v>
      </c>
      <c r="AU35" s="131" t="e">
        <f t="shared" si="7"/>
        <v>#N/A</v>
      </c>
      <c r="AV35" s="131" t="e">
        <f t="shared" si="8"/>
        <v>#N/A</v>
      </c>
      <c r="AW35" s="133" t="e">
        <f t="shared" si="17"/>
        <v>#N/A</v>
      </c>
      <c r="AX35" s="133" t="e">
        <f t="shared" si="18"/>
        <v>#N/A</v>
      </c>
      <c r="AY35" s="133" t="e">
        <f t="shared" si="19"/>
        <v>#N/A</v>
      </c>
      <c r="AZ35" s="131" t="e">
        <f t="shared" si="20"/>
        <v>#N/A</v>
      </c>
      <c r="BA35" s="120"/>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row>
    <row r="36" spans="1:210" ht="12" customHeight="1">
      <c r="A36" s="162">
        <v>1</v>
      </c>
      <c r="B36" s="163">
        <f t="shared" ref="B36:B53" si="27">HLOOKUP($A$35,pvalue_lu,A36+1,FALSE)</f>
        <v>0</v>
      </c>
      <c r="C36" s="346"/>
      <c r="D36" s="347" t="e">
        <f t="shared" ref="D36:D53" si="28">IF(C36="",NA(),C36+Ambient_L)</f>
        <v>#N/A</v>
      </c>
      <c r="E36" s="150" t="e">
        <f>P33</f>
        <v>#N/A</v>
      </c>
      <c r="F36" s="150"/>
      <c r="G36" s="151"/>
      <c r="H36" s="152"/>
      <c r="I36" s="91"/>
      <c r="L36" s="77"/>
      <c r="M36" s="128">
        <f t="shared" si="1"/>
        <v>4</v>
      </c>
      <c r="N36" s="115">
        <f t="shared" si="3"/>
        <v>720</v>
      </c>
      <c r="O36" s="131" t="e">
        <f t="shared" si="9"/>
        <v>#N/A</v>
      </c>
      <c r="P36" s="131" t="e">
        <f t="shared" si="21"/>
        <v>#N/A</v>
      </c>
      <c r="Q36" s="131" t="e">
        <f t="shared" si="22"/>
        <v>#N/A</v>
      </c>
      <c r="R36" s="131" t="e">
        <f t="shared" si="10"/>
        <v>#N/A</v>
      </c>
      <c r="S36" s="131" t="e">
        <f t="shared" si="11"/>
        <v>#N/A</v>
      </c>
      <c r="T36" s="131" t="e">
        <f t="shared" si="4"/>
        <v>#N/A</v>
      </c>
      <c r="U36" s="131" t="e">
        <f t="shared" si="5"/>
        <v>#N/A</v>
      </c>
      <c r="V36" s="133" t="e">
        <f t="shared" si="23"/>
        <v>#N/A</v>
      </c>
      <c r="W36" s="133" t="e">
        <f t="shared" si="24"/>
        <v>#N/A</v>
      </c>
      <c r="X36" s="133" t="e">
        <f t="shared" si="25"/>
        <v>#N/A</v>
      </c>
      <c r="Y36" s="131" t="e">
        <f t="shared" si="26"/>
        <v>#N/A</v>
      </c>
      <c r="Z36" s="115"/>
      <c r="AB36" s="155">
        <f t="shared" ref="AB36:AB46" si="29">AO10</f>
        <v>0</v>
      </c>
      <c r="AC36" s="156">
        <f t="shared" ref="AC36:AC46" si="30">AP10</f>
        <v>0</v>
      </c>
      <c r="AD36" s="19"/>
      <c r="AE36" s="342" t="e">
        <f t="shared" ref="AE36:AE46" si="31">IF(AD36="",NA(),AD36+Ambient_L)</f>
        <v>#N/A</v>
      </c>
      <c r="AF36" s="150" t="e">
        <f t="shared" ref="AF36:AF46" si="32">AQ33</f>
        <v>#N/A</v>
      </c>
      <c r="AG36" s="150"/>
      <c r="AH36" s="151"/>
      <c r="AI36" s="152"/>
      <c r="AJ36" s="91"/>
      <c r="AK36" s="76"/>
      <c r="AM36" s="188"/>
      <c r="AN36" s="145">
        <f t="shared" si="2"/>
        <v>0.3</v>
      </c>
      <c r="AO36" s="115">
        <f t="shared" si="6"/>
        <v>1228.5</v>
      </c>
      <c r="AP36" s="131" t="e">
        <f t="shared" si="12"/>
        <v>#N/A</v>
      </c>
      <c r="AQ36" s="131" t="e">
        <f t="shared" si="13"/>
        <v>#N/A</v>
      </c>
      <c r="AR36" s="131" t="e">
        <f t="shared" si="14"/>
        <v>#N/A</v>
      </c>
      <c r="AS36" s="131" t="e">
        <f t="shared" si="15"/>
        <v>#N/A</v>
      </c>
      <c r="AT36" s="131" t="e">
        <f t="shared" si="16"/>
        <v>#N/A</v>
      </c>
      <c r="AU36" s="131" t="e">
        <f t="shared" si="7"/>
        <v>#N/A</v>
      </c>
      <c r="AV36" s="131" t="e">
        <f t="shared" si="8"/>
        <v>#N/A</v>
      </c>
      <c r="AW36" s="133" t="e">
        <f t="shared" si="17"/>
        <v>#N/A</v>
      </c>
      <c r="AX36" s="133" t="e">
        <f t="shared" si="18"/>
        <v>#N/A</v>
      </c>
      <c r="AY36" s="133" t="e">
        <f t="shared" si="19"/>
        <v>#N/A</v>
      </c>
      <c r="AZ36" s="131" t="e">
        <f t="shared" si="20"/>
        <v>#N/A</v>
      </c>
      <c r="BA36" s="120"/>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c r="GH36" s="5"/>
      <c r="GI36" s="5"/>
      <c r="GJ36" s="5"/>
      <c r="GK36" s="5"/>
      <c r="GL36" s="5"/>
      <c r="GM36" s="5"/>
      <c r="GN36" s="5"/>
      <c r="GO36" s="5"/>
      <c r="GP36" s="5"/>
      <c r="GQ36" s="5"/>
      <c r="GR36" s="5"/>
      <c r="GS36" s="5"/>
      <c r="GT36" s="5"/>
      <c r="GU36" s="5"/>
      <c r="GV36" s="5"/>
      <c r="GW36" s="5"/>
      <c r="GX36" s="5"/>
      <c r="GY36" s="5"/>
      <c r="GZ36" s="5"/>
    </row>
    <row r="37" spans="1:210" ht="12" customHeight="1">
      <c r="A37" s="162">
        <f t="shared" ref="A37:A53" si="33">A36+1</f>
        <v>2</v>
      </c>
      <c r="B37" s="164">
        <f t="shared" si="27"/>
        <v>240</v>
      </c>
      <c r="C37" s="344"/>
      <c r="D37" s="347" t="e">
        <f t="shared" si="28"/>
        <v>#N/A</v>
      </c>
      <c r="E37" s="150" t="e">
        <f>P34</f>
        <v>#N/A</v>
      </c>
      <c r="F37" s="150" t="e">
        <f>(D37-D36)/(0.5*(D37+D36))</f>
        <v>#N/A</v>
      </c>
      <c r="G37" s="153" t="e">
        <f>F37/(E37-E36)</f>
        <v>#N/A</v>
      </c>
      <c r="H37" s="152" t="e">
        <f>(E37+E36)/2</f>
        <v>#N/A</v>
      </c>
      <c r="I37" s="96" t="e">
        <f t="shared" ref="I37:I53" si="34">ABS(V34-G37)/V34</f>
        <v>#N/A</v>
      </c>
      <c r="J37" s="4"/>
      <c r="K37" s="4"/>
      <c r="L37" s="77"/>
      <c r="M37" s="128">
        <f t="shared" si="1"/>
        <v>5</v>
      </c>
      <c r="N37" s="115">
        <f t="shared" si="3"/>
        <v>960</v>
      </c>
      <c r="O37" s="131" t="e">
        <f t="shared" si="9"/>
        <v>#N/A</v>
      </c>
      <c r="P37" s="131" t="e">
        <f t="shared" si="21"/>
        <v>#N/A</v>
      </c>
      <c r="Q37" s="131" t="e">
        <f t="shared" si="22"/>
        <v>#N/A</v>
      </c>
      <c r="R37" s="131" t="e">
        <f t="shared" si="10"/>
        <v>#N/A</v>
      </c>
      <c r="S37" s="131" t="e">
        <f t="shared" si="11"/>
        <v>#N/A</v>
      </c>
      <c r="T37" s="131" t="e">
        <f t="shared" si="4"/>
        <v>#N/A</v>
      </c>
      <c r="U37" s="131" t="e">
        <f t="shared" si="5"/>
        <v>#N/A</v>
      </c>
      <c r="V37" s="133" t="e">
        <f t="shared" si="23"/>
        <v>#N/A</v>
      </c>
      <c r="W37" s="133" t="e">
        <f t="shared" si="24"/>
        <v>#N/A</v>
      </c>
      <c r="X37" s="133" t="e">
        <f t="shared" si="25"/>
        <v>#N/A</v>
      </c>
      <c r="Y37" s="131" t="e">
        <f t="shared" si="26"/>
        <v>#N/A</v>
      </c>
      <c r="Z37" s="115"/>
      <c r="AB37" s="157">
        <f t="shared" si="29"/>
        <v>0.1</v>
      </c>
      <c r="AC37" s="158">
        <f t="shared" si="30"/>
        <v>409.5</v>
      </c>
      <c r="AD37" s="7"/>
      <c r="AE37" s="342" t="e">
        <f t="shared" si="31"/>
        <v>#N/A</v>
      </c>
      <c r="AF37" s="150" t="e">
        <f t="shared" si="32"/>
        <v>#N/A</v>
      </c>
      <c r="AG37" s="150" t="e">
        <f t="shared" ref="AG37:AG46" si="35">(AE37-AE36)/(0.5*(AE37+AE36))</f>
        <v>#N/A</v>
      </c>
      <c r="AH37" s="153" t="e">
        <f t="shared" ref="AH37:AH46" si="36">AG37/(AF37-AF36)</f>
        <v>#N/A</v>
      </c>
      <c r="AI37" s="152" t="e">
        <f t="shared" ref="AI37:AI46" si="37">(AF37+AF36)/2</f>
        <v>#N/A</v>
      </c>
      <c r="AJ37" s="96" t="e">
        <f t="shared" ref="AJ37:AJ46" si="38">ABS(AW34-AH37)/AW34</f>
        <v>#N/A</v>
      </c>
      <c r="AK37" s="4"/>
      <c r="AL37" s="4"/>
      <c r="AM37" s="188"/>
      <c r="AN37" s="145">
        <f t="shared" si="2"/>
        <v>0.4</v>
      </c>
      <c r="AO37" s="115">
        <f t="shared" si="6"/>
        <v>1638</v>
      </c>
      <c r="AP37" s="131" t="e">
        <f t="shared" si="12"/>
        <v>#N/A</v>
      </c>
      <c r="AQ37" s="131" t="e">
        <f t="shared" si="13"/>
        <v>#N/A</v>
      </c>
      <c r="AR37" s="131" t="e">
        <f t="shared" si="14"/>
        <v>#N/A</v>
      </c>
      <c r="AS37" s="131" t="e">
        <f t="shared" si="15"/>
        <v>#N/A</v>
      </c>
      <c r="AT37" s="131" t="e">
        <f t="shared" si="16"/>
        <v>#N/A</v>
      </c>
      <c r="AU37" s="131" t="e">
        <f t="shared" si="7"/>
        <v>#N/A</v>
      </c>
      <c r="AV37" s="131" t="e">
        <f t="shared" si="8"/>
        <v>#N/A</v>
      </c>
      <c r="AW37" s="133" t="e">
        <f t="shared" si="17"/>
        <v>#N/A</v>
      </c>
      <c r="AX37" s="133" t="e">
        <f t="shared" si="18"/>
        <v>#N/A</v>
      </c>
      <c r="AY37" s="133" t="e">
        <f t="shared" si="19"/>
        <v>#N/A</v>
      </c>
      <c r="AZ37" s="131" t="e">
        <f t="shared" si="20"/>
        <v>#N/A</v>
      </c>
      <c r="BA37" s="120"/>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row>
    <row r="38" spans="1:210" ht="12" customHeight="1">
      <c r="A38" s="162">
        <f t="shared" si="33"/>
        <v>3</v>
      </c>
      <c r="B38" s="164">
        <f t="shared" si="27"/>
        <v>480</v>
      </c>
      <c r="C38" s="344"/>
      <c r="D38" s="347" t="e">
        <f t="shared" si="28"/>
        <v>#N/A</v>
      </c>
      <c r="E38" s="150" t="e">
        <f t="shared" ref="E38:E53" si="39">P35</f>
        <v>#N/A</v>
      </c>
      <c r="F38" s="150" t="e">
        <f t="shared" ref="F38:F53" si="40">(D38-D37)/(0.5*(D38+D37))</f>
        <v>#N/A</v>
      </c>
      <c r="G38" s="153" t="e">
        <f t="shared" ref="G38:G53" si="41">F38/(E38-E37)</f>
        <v>#N/A</v>
      </c>
      <c r="H38" s="152" t="e">
        <f t="shared" ref="H38:H53" si="42">(E38+E37)/2</f>
        <v>#N/A</v>
      </c>
      <c r="I38" s="96" t="e">
        <f t="shared" si="34"/>
        <v>#N/A</v>
      </c>
      <c r="J38" s="4"/>
      <c r="K38" s="4"/>
      <c r="L38" s="77"/>
      <c r="M38" s="128">
        <f t="shared" si="1"/>
        <v>6</v>
      </c>
      <c r="N38" s="115">
        <f t="shared" si="3"/>
        <v>1200</v>
      </c>
      <c r="O38" s="131" t="e">
        <f t="shared" si="9"/>
        <v>#N/A</v>
      </c>
      <c r="P38" s="131" t="e">
        <f t="shared" si="21"/>
        <v>#N/A</v>
      </c>
      <c r="Q38" s="131" t="e">
        <f t="shared" si="22"/>
        <v>#N/A</v>
      </c>
      <c r="R38" s="131" t="e">
        <f t="shared" si="10"/>
        <v>#N/A</v>
      </c>
      <c r="S38" s="131" t="e">
        <f t="shared" si="11"/>
        <v>#N/A</v>
      </c>
      <c r="T38" s="131" t="e">
        <f t="shared" si="4"/>
        <v>#N/A</v>
      </c>
      <c r="U38" s="131" t="e">
        <f t="shared" si="5"/>
        <v>#N/A</v>
      </c>
      <c r="V38" s="133" t="e">
        <f t="shared" si="23"/>
        <v>#N/A</v>
      </c>
      <c r="W38" s="133" t="e">
        <f t="shared" si="24"/>
        <v>#N/A</v>
      </c>
      <c r="X38" s="133" t="e">
        <f t="shared" si="25"/>
        <v>#N/A</v>
      </c>
      <c r="Y38" s="131" t="e">
        <f t="shared" si="26"/>
        <v>#N/A</v>
      </c>
      <c r="Z38" s="115"/>
      <c r="AB38" s="157">
        <f t="shared" si="29"/>
        <v>0.2</v>
      </c>
      <c r="AC38" s="158">
        <f t="shared" si="30"/>
        <v>819</v>
      </c>
      <c r="AD38" s="7"/>
      <c r="AE38" s="342" t="e">
        <f t="shared" si="31"/>
        <v>#N/A</v>
      </c>
      <c r="AF38" s="150" t="e">
        <f t="shared" si="32"/>
        <v>#N/A</v>
      </c>
      <c r="AG38" s="150" t="e">
        <f t="shared" si="35"/>
        <v>#N/A</v>
      </c>
      <c r="AH38" s="153" t="e">
        <f t="shared" si="36"/>
        <v>#N/A</v>
      </c>
      <c r="AI38" s="152" t="e">
        <f t="shared" si="37"/>
        <v>#N/A</v>
      </c>
      <c r="AJ38" s="96" t="e">
        <f t="shared" si="38"/>
        <v>#N/A</v>
      </c>
      <c r="AK38" s="4"/>
      <c r="AL38" s="4"/>
      <c r="AM38" s="188"/>
      <c r="AN38" s="145">
        <f t="shared" si="2"/>
        <v>0.5</v>
      </c>
      <c r="AO38" s="115">
        <f t="shared" si="6"/>
        <v>2047.5</v>
      </c>
      <c r="AP38" s="131" t="e">
        <f t="shared" si="12"/>
        <v>#N/A</v>
      </c>
      <c r="AQ38" s="131" t="e">
        <f t="shared" si="13"/>
        <v>#N/A</v>
      </c>
      <c r="AR38" s="131" t="e">
        <f t="shared" si="14"/>
        <v>#N/A</v>
      </c>
      <c r="AS38" s="131" t="e">
        <f t="shared" si="15"/>
        <v>#N/A</v>
      </c>
      <c r="AT38" s="131" t="e">
        <f t="shared" si="16"/>
        <v>#N/A</v>
      </c>
      <c r="AU38" s="131" t="e">
        <f t="shared" si="7"/>
        <v>#N/A</v>
      </c>
      <c r="AV38" s="131" t="e">
        <f t="shared" si="8"/>
        <v>#N/A</v>
      </c>
      <c r="AW38" s="133" t="e">
        <f t="shared" si="17"/>
        <v>#N/A</v>
      </c>
      <c r="AX38" s="133" t="e">
        <f t="shared" si="18"/>
        <v>#N/A</v>
      </c>
      <c r="AY38" s="133" t="e">
        <f t="shared" si="19"/>
        <v>#N/A</v>
      </c>
      <c r="AZ38" s="131" t="e">
        <f t="shared" si="20"/>
        <v>#N/A</v>
      </c>
      <c r="BA38" s="120"/>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row>
    <row r="39" spans="1:210" ht="12" customHeight="1">
      <c r="A39" s="162">
        <f t="shared" si="33"/>
        <v>4</v>
      </c>
      <c r="B39" s="164">
        <f t="shared" si="27"/>
        <v>720</v>
      </c>
      <c r="C39" s="344"/>
      <c r="D39" s="347" t="e">
        <f t="shared" si="28"/>
        <v>#N/A</v>
      </c>
      <c r="E39" s="150" t="e">
        <f t="shared" si="39"/>
        <v>#N/A</v>
      </c>
      <c r="F39" s="150" t="e">
        <f t="shared" si="40"/>
        <v>#N/A</v>
      </c>
      <c r="G39" s="153" t="e">
        <f t="shared" si="41"/>
        <v>#N/A</v>
      </c>
      <c r="H39" s="152" t="e">
        <f t="shared" si="42"/>
        <v>#N/A</v>
      </c>
      <c r="I39" s="96" t="e">
        <f t="shared" si="34"/>
        <v>#N/A</v>
      </c>
      <c r="J39" s="4"/>
      <c r="K39" s="4"/>
      <c r="L39" s="77"/>
      <c r="M39" s="128">
        <f t="shared" si="1"/>
        <v>7</v>
      </c>
      <c r="N39" s="115">
        <f t="shared" si="3"/>
        <v>1440</v>
      </c>
      <c r="O39" s="131" t="e">
        <f t="shared" si="9"/>
        <v>#N/A</v>
      </c>
      <c r="P39" s="131" t="e">
        <f t="shared" si="21"/>
        <v>#N/A</v>
      </c>
      <c r="Q39" s="131" t="e">
        <f t="shared" si="22"/>
        <v>#N/A</v>
      </c>
      <c r="R39" s="131" t="e">
        <f t="shared" si="10"/>
        <v>#N/A</v>
      </c>
      <c r="S39" s="131" t="e">
        <f t="shared" si="11"/>
        <v>#N/A</v>
      </c>
      <c r="T39" s="131" t="e">
        <f t="shared" si="4"/>
        <v>#N/A</v>
      </c>
      <c r="U39" s="131" t="e">
        <f t="shared" si="5"/>
        <v>#N/A</v>
      </c>
      <c r="V39" s="133" t="e">
        <f t="shared" si="23"/>
        <v>#N/A</v>
      </c>
      <c r="W39" s="133" t="e">
        <f t="shared" si="24"/>
        <v>#N/A</v>
      </c>
      <c r="X39" s="133" t="e">
        <f t="shared" si="25"/>
        <v>#N/A</v>
      </c>
      <c r="Y39" s="131" t="e">
        <f t="shared" si="26"/>
        <v>#N/A</v>
      </c>
      <c r="Z39" s="115"/>
      <c r="AB39" s="157">
        <f t="shared" si="29"/>
        <v>0.3</v>
      </c>
      <c r="AC39" s="158">
        <f t="shared" si="30"/>
        <v>1228.5</v>
      </c>
      <c r="AD39" s="7"/>
      <c r="AE39" s="342" t="e">
        <f t="shared" si="31"/>
        <v>#N/A</v>
      </c>
      <c r="AF39" s="150" t="e">
        <f t="shared" si="32"/>
        <v>#N/A</v>
      </c>
      <c r="AG39" s="150" t="e">
        <f t="shared" si="35"/>
        <v>#N/A</v>
      </c>
      <c r="AH39" s="153" t="e">
        <f t="shared" si="36"/>
        <v>#N/A</v>
      </c>
      <c r="AI39" s="152" t="e">
        <f t="shared" si="37"/>
        <v>#N/A</v>
      </c>
      <c r="AJ39" s="96" t="e">
        <f t="shared" si="38"/>
        <v>#N/A</v>
      </c>
      <c r="AK39" s="4"/>
      <c r="AL39" s="4"/>
      <c r="AM39" s="188"/>
      <c r="AN39" s="145">
        <f t="shared" si="2"/>
        <v>0.6</v>
      </c>
      <c r="AO39" s="115">
        <f t="shared" si="6"/>
        <v>2457</v>
      </c>
      <c r="AP39" s="131" t="e">
        <f t="shared" si="12"/>
        <v>#N/A</v>
      </c>
      <c r="AQ39" s="131" t="e">
        <f t="shared" si="13"/>
        <v>#N/A</v>
      </c>
      <c r="AR39" s="131" t="e">
        <f t="shared" si="14"/>
        <v>#N/A</v>
      </c>
      <c r="AS39" s="131" t="e">
        <f t="shared" si="15"/>
        <v>#N/A</v>
      </c>
      <c r="AT39" s="131" t="e">
        <f t="shared" si="16"/>
        <v>#N/A</v>
      </c>
      <c r="AU39" s="131" t="e">
        <f t="shared" si="7"/>
        <v>#N/A</v>
      </c>
      <c r="AV39" s="131" t="e">
        <f t="shared" si="8"/>
        <v>#N/A</v>
      </c>
      <c r="AW39" s="133" t="e">
        <f t="shared" si="17"/>
        <v>#N/A</v>
      </c>
      <c r="AX39" s="133" t="e">
        <f t="shared" si="18"/>
        <v>#N/A</v>
      </c>
      <c r="AY39" s="133" t="e">
        <f t="shared" si="19"/>
        <v>#N/A</v>
      </c>
      <c r="AZ39" s="131" t="e">
        <f t="shared" si="20"/>
        <v>#N/A</v>
      </c>
      <c r="BA39" s="120"/>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c r="GO39" s="5"/>
      <c r="GP39" s="5"/>
      <c r="GQ39" s="5"/>
      <c r="GR39" s="5"/>
      <c r="GS39" s="5"/>
      <c r="GT39" s="5"/>
      <c r="GU39" s="5"/>
      <c r="GV39" s="5"/>
      <c r="GW39" s="5"/>
      <c r="GX39" s="5"/>
      <c r="GY39" s="5"/>
      <c r="GZ39" s="5"/>
    </row>
    <row r="40" spans="1:210" ht="12" customHeight="1">
      <c r="A40" s="162">
        <f t="shared" si="33"/>
        <v>5</v>
      </c>
      <c r="B40" s="164">
        <f t="shared" si="27"/>
        <v>960</v>
      </c>
      <c r="C40" s="344"/>
      <c r="D40" s="347" t="e">
        <f t="shared" si="28"/>
        <v>#N/A</v>
      </c>
      <c r="E40" s="150" t="e">
        <f t="shared" si="39"/>
        <v>#N/A</v>
      </c>
      <c r="F40" s="150" t="e">
        <f t="shared" si="40"/>
        <v>#N/A</v>
      </c>
      <c r="G40" s="153" t="e">
        <f t="shared" si="41"/>
        <v>#N/A</v>
      </c>
      <c r="H40" s="152" t="e">
        <f t="shared" si="42"/>
        <v>#N/A</v>
      </c>
      <c r="I40" s="96" t="e">
        <f t="shared" si="34"/>
        <v>#N/A</v>
      </c>
      <c r="J40" s="4"/>
      <c r="K40" s="4"/>
      <c r="L40" s="77"/>
      <c r="M40" s="128">
        <f t="shared" si="1"/>
        <v>8</v>
      </c>
      <c r="N40" s="115">
        <f t="shared" si="3"/>
        <v>1680</v>
      </c>
      <c r="O40" s="131" t="e">
        <f t="shared" si="9"/>
        <v>#N/A</v>
      </c>
      <c r="P40" s="131" t="e">
        <f t="shared" si="21"/>
        <v>#N/A</v>
      </c>
      <c r="Q40" s="131" t="e">
        <f t="shared" si="22"/>
        <v>#N/A</v>
      </c>
      <c r="R40" s="131" t="e">
        <f t="shared" si="10"/>
        <v>#N/A</v>
      </c>
      <c r="S40" s="131" t="e">
        <f t="shared" si="11"/>
        <v>#N/A</v>
      </c>
      <c r="T40" s="131" t="e">
        <f t="shared" si="4"/>
        <v>#N/A</v>
      </c>
      <c r="U40" s="131" t="e">
        <f t="shared" si="5"/>
        <v>#N/A</v>
      </c>
      <c r="V40" s="133" t="e">
        <f t="shared" si="23"/>
        <v>#N/A</v>
      </c>
      <c r="W40" s="133" t="e">
        <f t="shared" si="24"/>
        <v>#N/A</v>
      </c>
      <c r="X40" s="133" t="e">
        <f t="shared" si="25"/>
        <v>#N/A</v>
      </c>
      <c r="Y40" s="131" t="e">
        <f t="shared" si="26"/>
        <v>#N/A</v>
      </c>
      <c r="Z40" s="115"/>
      <c r="AB40" s="157">
        <f t="shared" si="29"/>
        <v>0.4</v>
      </c>
      <c r="AC40" s="158">
        <f t="shared" si="30"/>
        <v>1638</v>
      </c>
      <c r="AD40" s="7"/>
      <c r="AE40" s="342" t="e">
        <f t="shared" si="31"/>
        <v>#N/A</v>
      </c>
      <c r="AF40" s="150" t="e">
        <f t="shared" si="32"/>
        <v>#N/A</v>
      </c>
      <c r="AG40" s="150" t="e">
        <f t="shared" si="35"/>
        <v>#N/A</v>
      </c>
      <c r="AH40" s="153" t="e">
        <f t="shared" si="36"/>
        <v>#N/A</v>
      </c>
      <c r="AI40" s="152" t="e">
        <f t="shared" si="37"/>
        <v>#N/A</v>
      </c>
      <c r="AJ40" s="96" t="e">
        <f t="shared" si="38"/>
        <v>#N/A</v>
      </c>
      <c r="AK40" s="4"/>
      <c r="AL40" s="4"/>
      <c r="AM40" s="188"/>
      <c r="AN40" s="145">
        <f t="shared" si="2"/>
        <v>0.7</v>
      </c>
      <c r="AO40" s="115">
        <f t="shared" si="6"/>
        <v>2866.5</v>
      </c>
      <c r="AP40" s="131" t="e">
        <f t="shared" si="12"/>
        <v>#N/A</v>
      </c>
      <c r="AQ40" s="131" t="e">
        <f t="shared" si="13"/>
        <v>#N/A</v>
      </c>
      <c r="AR40" s="131" t="e">
        <f t="shared" si="14"/>
        <v>#N/A</v>
      </c>
      <c r="AS40" s="131" t="e">
        <f t="shared" si="15"/>
        <v>#N/A</v>
      </c>
      <c r="AT40" s="131" t="e">
        <f t="shared" si="16"/>
        <v>#N/A</v>
      </c>
      <c r="AU40" s="131" t="e">
        <f t="shared" si="7"/>
        <v>#N/A</v>
      </c>
      <c r="AV40" s="131" t="e">
        <f t="shared" si="8"/>
        <v>#N/A</v>
      </c>
      <c r="AW40" s="133" t="e">
        <f t="shared" si="17"/>
        <v>#N/A</v>
      </c>
      <c r="AX40" s="133" t="e">
        <f t="shared" si="18"/>
        <v>#N/A</v>
      </c>
      <c r="AY40" s="133" t="e">
        <f t="shared" si="19"/>
        <v>#N/A</v>
      </c>
      <c r="AZ40" s="131" t="e">
        <f t="shared" si="20"/>
        <v>#N/A</v>
      </c>
      <c r="BA40" s="120"/>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row>
    <row r="41" spans="1:210" ht="12" customHeight="1">
      <c r="A41" s="162">
        <f t="shared" si="33"/>
        <v>6</v>
      </c>
      <c r="B41" s="164">
        <f t="shared" si="27"/>
        <v>1200</v>
      </c>
      <c r="C41" s="344"/>
      <c r="D41" s="347" t="e">
        <f t="shared" si="28"/>
        <v>#N/A</v>
      </c>
      <c r="E41" s="150" t="e">
        <f t="shared" si="39"/>
        <v>#N/A</v>
      </c>
      <c r="F41" s="150" t="e">
        <f t="shared" si="40"/>
        <v>#N/A</v>
      </c>
      <c r="G41" s="153" t="e">
        <f t="shared" si="41"/>
        <v>#N/A</v>
      </c>
      <c r="H41" s="152" t="e">
        <f t="shared" si="42"/>
        <v>#N/A</v>
      </c>
      <c r="I41" s="96" t="e">
        <f t="shared" si="34"/>
        <v>#N/A</v>
      </c>
      <c r="J41" s="4"/>
      <c r="K41" s="4"/>
      <c r="L41" s="77"/>
      <c r="M41" s="128">
        <f t="shared" si="1"/>
        <v>9</v>
      </c>
      <c r="N41" s="115">
        <f t="shared" si="3"/>
        <v>1920</v>
      </c>
      <c r="O41" s="131" t="e">
        <f t="shared" si="9"/>
        <v>#N/A</v>
      </c>
      <c r="P41" s="131" t="e">
        <f t="shared" si="21"/>
        <v>#N/A</v>
      </c>
      <c r="Q41" s="131" t="e">
        <f t="shared" si="22"/>
        <v>#N/A</v>
      </c>
      <c r="R41" s="131" t="e">
        <f t="shared" si="10"/>
        <v>#N/A</v>
      </c>
      <c r="S41" s="131" t="e">
        <f t="shared" si="11"/>
        <v>#N/A</v>
      </c>
      <c r="T41" s="131" t="e">
        <f t="shared" si="4"/>
        <v>#N/A</v>
      </c>
      <c r="U41" s="131" t="e">
        <f t="shared" si="5"/>
        <v>#N/A</v>
      </c>
      <c r="V41" s="133" t="e">
        <f t="shared" si="23"/>
        <v>#N/A</v>
      </c>
      <c r="W41" s="133" t="e">
        <f t="shared" si="24"/>
        <v>#N/A</v>
      </c>
      <c r="X41" s="133" t="e">
        <f t="shared" si="25"/>
        <v>#N/A</v>
      </c>
      <c r="Y41" s="131" t="e">
        <f t="shared" si="26"/>
        <v>#N/A</v>
      </c>
      <c r="Z41" s="115"/>
      <c r="AB41" s="157">
        <f t="shared" si="29"/>
        <v>0.5</v>
      </c>
      <c r="AC41" s="158">
        <f t="shared" si="30"/>
        <v>2047.5</v>
      </c>
      <c r="AD41" s="7"/>
      <c r="AE41" s="342" t="e">
        <f t="shared" si="31"/>
        <v>#N/A</v>
      </c>
      <c r="AF41" s="150" t="e">
        <f t="shared" si="32"/>
        <v>#N/A</v>
      </c>
      <c r="AG41" s="150" t="e">
        <f t="shared" si="35"/>
        <v>#N/A</v>
      </c>
      <c r="AH41" s="153" t="e">
        <f t="shared" si="36"/>
        <v>#N/A</v>
      </c>
      <c r="AI41" s="152" t="e">
        <f t="shared" si="37"/>
        <v>#N/A</v>
      </c>
      <c r="AJ41" s="96" t="e">
        <f t="shared" si="38"/>
        <v>#N/A</v>
      </c>
      <c r="AK41" s="4"/>
      <c r="AL41" s="4"/>
      <c r="AM41" s="188"/>
      <c r="AN41" s="145">
        <f t="shared" si="2"/>
        <v>0.8</v>
      </c>
      <c r="AO41" s="115">
        <f t="shared" si="6"/>
        <v>3276</v>
      </c>
      <c r="AP41" s="131" t="e">
        <f t="shared" si="12"/>
        <v>#N/A</v>
      </c>
      <c r="AQ41" s="131" t="e">
        <f t="shared" si="13"/>
        <v>#N/A</v>
      </c>
      <c r="AR41" s="131" t="e">
        <f t="shared" si="14"/>
        <v>#N/A</v>
      </c>
      <c r="AS41" s="131" t="e">
        <f t="shared" si="15"/>
        <v>#N/A</v>
      </c>
      <c r="AT41" s="131" t="e">
        <f t="shared" si="16"/>
        <v>#N/A</v>
      </c>
      <c r="AU41" s="131" t="e">
        <f t="shared" si="7"/>
        <v>#N/A</v>
      </c>
      <c r="AV41" s="131" t="e">
        <f t="shared" si="8"/>
        <v>#N/A</v>
      </c>
      <c r="AW41" s="133" t="e">
        <f t="shared" si="17"/>
        <v>#N/A</v>
      </c>
      <c r="AX41" s="133" t="e">
        <f t="shared" si="18"/>
        <v>#N/A</v>
      </c>
      <c r="AY41" s="133" t="e">
        <f t="shared" si="19"/>
        <v>#N/A</v>
      </c>
      <c r="AZ41" s="131" t="e">
        <f t="shared" si="20"/>
        <v>#N/A</v>
      </c>
      <c r="BA41" s="120"/>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row>
    <row r="42" spans="1:210" ht="12" customHeight="1">
      <c r="A42" s="162">
        <f t="shared" si="33"/>
        <v>7</v>
      </c>
      <c r="B42" s="164">
        <f t="shared" si="27"/>
        <v>1440</v>
      </c>
      <c r="C42" s="344"/>
      <c r="D42" s="347" t="e">
        <f t="shared" si="28"/>
        <v>#N/A</v>
      </c>
      <c r="E42" s="150" t="e">
        <f t="shared" si="39"/>
        <v>#N/A</v>
      </c>
      <c r="F42" s="150" t="e">
        <f t="shared" si="40"/>
        <v>#N/A</v>
      </c>
      <c r="G42" s="153" t="e">
        <f t="shared" si="41"/>
        <v>#N/A</v>
      </c>
      <c r="H42" s="152" t="e">
        <f t="shared" si="42"/>
        <v>#N/A</v>
      </c>
      <c r="I42" s="96" t="e">
        <f t="shared" si="34"/>
        <v>#N/A</v>
      </c>
      <c r="J42" s="4"/>
      <c r="K42" s="4"/>
      <c r="L42" s="77"/>
      <c r="M42" s="128">
        <f t="shared" si="1"/>
        <v>10</v>
      </c>
      <c r="N42" s="115">
        <f t="shared" si="3"/>
        <v>2160</v>
      </c>
      <c r="O42" s="131" t="e">
        <f t="shared" si="9"/>
        <v>#N/A</v>
      </c>
      <c r="P42" s="131" t="e">
        <f t="shared" si="21"/>
        <v>#N/A</v>
      </c>
      <c r="Q42" s="131" t="e">
        <f t="shared" si="22"/>
        <v>#N/A</v>
      </c>
      <c r="R42" s="131" t="e">
        <f t="shared" si="10"/>
        <v>#N/A</v>
      </c>
      <c r="S42" s="131" t="e">
        <f t="shared" si="11"/>
        <v>#N/A</v>
      </c>
      <c r="T42" s="131" t="e">
        <f t="shared" si="4"/>
        <v>#N/A</v>
      </c>
      <c r="U42" s="131" t="e">
        <f t="shared" si="5"/>
        <v>#N/A</v>
      </c>
      <c r="V42" s="133" t="e">
        <f t="shared" si="23"/>
        <v>#N/A</v>
      </c>
      <c r="W42" s="133" t="e">
        <f t="shared" si="24"/>
        <v>#N/A</v>
      </c>
      <c r="X42" s="133" t="e">
        <f t="shared" si="25"/>
        <v>#N/A</v>
      </c>
      <c r="Y42" s="131" t="e">
        <f t="shared" si="26"/>
        <v>#N/A</v>
      </c>
      <c r="Z42" s="115"/>
      <c r="AB42" s="157">
        <f t="shared" si="29"/>
        <v>0.6</v>
      </c>
      <c r="AC42" s="158">
        <f t="shared" si="30"/>
        <v>2457</v>
      </c>
      <c r="AD42" s="7"/>
      <c r="AE42" s="342" t="e">
        <f t="shared" si="31"/>
        <v>#N/A</v>
      </c>
      <c r="AF42" s="150" t="e">
        <f t="shared" si="32"/>
        <v>#N/A</v>
      </c>
      <c r="AG42" s="150" t="e">
        <f t="shared" si="35"/>
        <v>#N/A</v>
      </c>
      <c r="AH42" s="153" t="e">
        <f t="shared" si="36"/>
        <v>#N/A</v>
      </c>
      <c r="AI42" s="152" t="e">
        <f t="shared" si="37"/>
        <v>#N/A</v>
      </c>
      <c r="AJ42" s="96" t="e">
        <f t="shared" si="38"/>
        <v>#N/A</v>
      </c>
      <c r="AK42" s="4"/>
      <c r="AL42" s="4"/>
      <c r="AM42" s="188"/>
      <c r="AN42" s="145">
        <f t="shared" si="2"/>
        <v>0.9</v>
      </c>
      <c r="AO42" s="115">
        <f t="shared" si="6"/>
        <v>3685.5</v>
      </c>
      <c r="AP42" s="131" t="e">
        <f t="shared" si="12"/>
        <v>#N/A</v>
      </c>
      <c r="AQ42" s="131" t="e">
        <f t="shared" si="13"/>
        <v>#N/A</v>
      </c>
      <c r="AR42" s="131" t="e">
        <f t="shared" si="14"/>
        <v>#N/A</v>
      </c>
      <c r="AS42" s="131" t="e">
        <f t="shared" si="15"/>
        <v>#N/A</v>
      </c>
      <c r="AT42" s="131" t="e">
        <f t="shared" si="16"/>
        <v>#N/A</v>
      </c>
      <c r="AU42" s="131" t="e">
        <f t="shared" si="7"/>
        <v>#N/A</v>
      </c>
      <c r="AV42" s="131" t="e">
        <f t="shared" si="8"/>
        <v>#N/A</v>
      </c>
      <c r="AW42" s="133" t="e">
        <f t="shared" si="17"/>
        <v>#N/A</v>
      </c>
      <c r="AX42" s="133" t="e">
        <f t="shared" si="18"/>
        <v>#N/A</v>
      </c>
      <c r="AY42" s="133" t="e">
        <f t="shared" si="19"/>
        <v>#N/A</v>
      </c>
      <c r="AZ42" s="131" t="e">
        <f t="shared" si="20"/>
        <v>#N/A</v>
      </c>
      <c r="BA42" s="120"/>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row>
    <row r="43" spans="1:210" ht="12" customHeight="1">
      <c r="A43" s="162">
        <f t="shared" si="33"/>
        <v>8</v>
      </c>
      <c r="B43" s="164">
        <f t="shared" si="27"/>
        <v>1680</v>
      </c>
      <c r="C43" s="344"/>
      <c r="D43" s="347" t="e">
        <f t="shared" si="28"/>
        <v>#N/A</v>
      </c>
      <c r="E43" s="150" t="e">
        <f t="shared" si="39"/>
        <v>#N/A</v>
      </c>
      <c r="F43" s="150" t="e">
        <f t="shared" si="40"/>
        <v>#N/A</v>
      </c>
      <c r="G43" s="153" t="e">
        <f t="shared" si="41"/>
        <v>#N/A</v>
      </c>
      <c r="H43" s="152" t="e">
        <f t="shared" si="42"/>
        <v>#N/A</v>
      </c>
      <c r="I43" s="96" t="e">
        <f t="shared" si="34"/>
        <v>#N/A</v>
      </c>
      <c r="J43" s="4"/>
      <c r="K43" s="4"/>
      <c r="L43" s="77"/>
      <c r="M43" s="128">
        <f t="shared" si="1"/>
        <v>11</v>
      </c>
      <c r="N43" s="115">
        <f t="shared" si="3"/>
        <v>2400</v>
      </c>
      <c r="O43" s="131" t="e">
        <f t="shared" si="9"/>
        <v>#N/A</v>
      </c>
      <c r="P43" s="131" t="e">
        <f t="shared" si="21"/>
        <v>#N/A</v>
      </c>
      <c r="Q43" s="131" t="e">
        <f t="shared" si="22"/>
        <v>#N/A</v>
      </c>
      <c r="R43" s="131" t="e">
        <f t="shared" si="10"/>
        <v>#N/A</v>
      </c>
      <c r="S43" s="131" t="e">
        <f t="shared" si="11"/>
        <v>#N/A</v>
      </c>
      <c r="T43" s="131" t="e">
        <f t="shared" si="4"/>
        <v>#N/A</v>
      </c>
      <c r="U43" s="131" t="e">
        <f t="shared" si="5"/>
        <v>#N/A</v>
      </c>
      <c r="V43" s="133" t="e">
        <f t="shared" si="23"/>
        <v>#N/A</v>
      </c>
      <c r="W43" s="133" t="e">
        <f t="shared" si="24"/>
        <v>#N/A</v>
      </c>
      <c r="X43" s="133" t="e">
        <f t="shared" si="25"/>
        <v>#N/A</v>
      </c>
      <c r="Y43" s="131" t="e">
        <f t="shared" si="26"/>
        <v>#N/A</v>
      </c>
      <c r="Z43" s="115"/>
      <c r="AB43" s="157">
        <f t="shared" si="29"/>
        <v>0.7</v>
      </c>
      <c r="AC43" s="158">
        <f t="shared" si="30"/>
        <v>2866.5</v>
      </c>
      <c r="AD43" s="7"/>
      <c r="AE43" s="342" t="e">
        <f t="shared" si="31"/>
        <v>#N/A</v>
      </c>
      <c r="AF43" s="150" t="e">
        <f t="shared" si="32"/>
        <v>#N/A</v>
      </c>
      <c r="AG43" s="150" t="e">
        <f t="shared" si="35"/>
        <v>#N/A</v>
      </c>
      <c r="AH43" s="153" t="e">
        <f t="shared" si="36"/>
        <v>#N/A</v>
      </c>
      <c r="AI43" s="152" t="e">
        <f t="shared" si="37"/>
        <v>#N/A</v>
      </c>
      <c r="AJ43" s="96" t="e">
        <f t="shared" si="38"/>
        <v>#N/A</v>
      </c>
      <c r="AK43" s="4"/>
      <c r="AL43" s="4"/>
      <c r="AM43" s="188"/>
      <c r="AN43" s="145">
        <f t="shared" si="2"/>
        <v>1</v>
      </c>
      <c r="AO43" s="115">
        <f t="shared" si="6"/>
        <v>4095</v>
      </c>
      <c r="AP43" s="129" t="e">
        <f>AE46</f>
        <v>#N/A</v>
      </c>
      <c r="AQ43" s="129" t="e">
        <f>iA_+iB_*LOG10(AP43)+iC_*LOG10(AP43)^2+iD_*LOG10(AP43)^3+iE_*LOG10(AP43)^4+iF_*LOG10(AP43)^5+iG_*LOG10(AP43)^6+iH_*LOG10(AP43)^7+iI_*LOG10(AP43)^8</f>
        <v>#N/A</v>
      </c>
      <c r="AR43" s="131" t="e">
        <f t="shared" si="14"/>
        <v>#N/A</v>
      </c>
      <c r="AS43" s="131" t="e">
        <f t="shared" si="15"/>
        <v>#N/A</v>
      </c>
      <c r="AT43" s="131" t="e">
        <f t="shared" si="16"/>
        <v>#N/A</v>
      </c>
      <c r="AU43" s="131" t="e">
        <f t="shared" si="7"/>
        <v>#N/A</v>
      </c>
      <c r="AV43" s="131" t="e">
        <f t="shared" si="8"/>
        <v>#N/A</v>
      </c>
      <c r="AW43" s="133" t="e">
        <f t="shared" si="17"/>
        <v>#N/A</v>
      </c>
      <c r="AX43" s="133" t="e">
        <f t="shared" si="18"/>
        <v>#N/A</v>
      </c>
      <c r="AY43" s="133" t="e">
        <f t="shared" si="19"/>
        <v>#N/A</v>
      </c>
      <c r="AZ43" s="131" t="e">
        <f t="shared" si="20"/>
        <v>#N/A</v>
      </c>
      <c r="BA43" s="120"/>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row>
    <row r="44" spans="1:210" ht="12" customHeight="1">
      <c r="A44" s="162">
        <f t="shared" si="33"/>
        <v>9</v>
      </c>
      <c r="B44" s="164">
        <f t="shared" si="27"/>
        <v>1920</v>
      </c>
      <c r="C44" s="344"/>
      <c r="D44" s="347" t="e">
        <f t="shared" si="28"/>
        <v>#N/A</v>
      </c>
      <c r="E44" s="150" t="e">
        <f t="shared" si="39"/>
        <v>#N/A</v>
      </c>
      <c r="F44" s="150" t="e">
        <f t="shared" si="40"/>
        <v>#N/A</v>
      </c>
      <c r="G44" s="153" t="e">
        <f t="shared" si="41"/>
        <v>#N/A</v>
      </c>
      <c r="H44" s="152" t="e">
        <f t="shared" si="42"/>
        <v>#N/A</v>
      </c>
      <c r="I44" s="96" t="e">
        <f t="shared" si="34"/>
        <v>#N/A</v>
      </c>
      <c r="J44" s="4"/>
      <c r="K44" s="4"/>
      <c r="L44" s="77"/>
      <c r="M44" s="128">
        <f t="shared" si="1"/>
        <v>12</v>
      </c>
      <c r="N44" s="115">
        <f t="shared" si="3"/>
        <v>2640</v>
      </c>
      <c r="O44" s="131" t="e">
        <f t="shared" si="9"/>
        <v>#N/A</v>
      </c>
      <c r="P44" s="131" t="e">
        <f t="shared" si="21"/>
        <v>#N/A</v>
      </c>
      <c r="Q44" s="131" t="e">
        <f t="shared" si="22"/>
        <v>#N/A</v>
      </c>
      <c r="R44" s="131" t="e">
        <f t="shared" si="10"/>
        <v>#N/A</v>
      </c>
      <c r="S44" s="131" t="e">
        <f t="shared" si="11"/>
        <v>#N/A</v>
      </c>
      <c r="T44" s="131" t="e">
        <f t="shared" si="4"/>
        <v>#N/A</v>
      </c>
      <c r="U44" s="131" t="e">
        <f t="shared" si="5"/>
        <v>#N/A</v>
      </c>
      <c r="V44" s="133" t="e">
        <f t="shared" si="23"/>
        <v>#N/A</v>
      </c>
      <c r="W44" s="133" t="e">
        <f t="shared" si="24"/>
        <v>#N/A</v>
      </c>
      <c r="X44" s="133" t="e">
        <f t="shared" si="25"/>
        <v>#N/A</v>
      </c>
      <c r="Y44" s="131" t="e">
        <f t="shared" si="26"/>
        <v>#N/A</v>
      </c>
      <c r="Z44" s="115"/>
      <c r="AB44" s="157">
        <f t="shared" si="29"/>
        <v>0.8</v>
      </c>
      <c r="AC44" s="158">
        <f t="shared" si="30"/>
        <v>3276</v>
      </c>
      <c r="AD44" s="7"/>
      <c r="AE44" s="342" t="e">
        <f t="shared" si="31"/>
        <v>#N/A</v>
      </c>
      <c r="AF44" s="150" t="e">
        <f t="shared" si="32"/>
        <v>#N/A</v>
      </c>
      <c r="AG44" s="150" t="e">
        <f t="shared" si="35"/>
        <v>#N/A</v>
      </c>
      <c r="AH44" s="153" t="e">
        <f t="shared" si="36"/>
        <v>#N/A</v>
      </c>
      <c r="AI44" s="152" t="e">
        <f t="shared" si="37"/>
        <v>#N/A</v>
      </c>
      <c r="AJ44" s="96" t="e">
        <f t="shared" si="38"/>
        <v>#N/A</v>
      </c>
      <c r="AK44" s="4"/>
      <c r="AL44" s="4"/>
      <c r="AM44" s="188"/>
      <c r="AN44" s="114"/>
      <c r="AO44" s="114"/>
      <c r="AP44" s="115"/>
      <c r="AQ44" s="114"/>
      <c r="AR44" s="114"/>
      <c r="AS44" s="134"/>
      <c r="AT44" s="135"/>
      <c r="AU44" s="114"/>
      <c r="AV44" s="114"/>
      <c r="AW44" s="114"/>
      <c r="AX44" s="114"/>
      <c r="AY44" s="114"/>
      <c r="AZ44" s="114"/>
      <c r="BA44" s="117"/>
      <c r="BB44" s="76"/>
      <c r="BC44" s="76"/>
      <c r="BD44" s="76"/>
      <c r="BE44" s="76"/>
      <c r="BF44" s="76"/>
      <c r="BG44" s="76"/>
      <c r="BH44" s="76"/>
      <c r="BI44" s="76"/>
      <c r="BJ44" s="76"/>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row>
    <row r="45" spans="1:210" ht="12" customHeight="1">
      <c r="A45" s="162">
        <f t="shared" si="33"/>
        <v>10</v>
      </c>
      <c r="B45" s="164">
        <f t="shared" si="27"/>
        <v>2160</v>
      </c>
      <c r="C45" s="344"/>
      <c r="D45" s="347" t="e">
        <f t="shared" si="28"/>
        <v>#N/A</v>
      </c>
      <c r="E45" s="150" t="e">
        <f t="shared" si="39"/>
        <v>#N/A</v>
      </c>
      <c r="F45" s="150" t="e">
        <f t="shared" si="40"/>
        <v>#N/A</v>
      </c>
      <c r="G45" s="153" t="e">
        <f t="shared" si="41"/>
        <v>#N/A</v>
      </c>
      <c r="H45" s="152" t="e">
        <f t="shared" si="42"/>
        <v>#N/A</v>
      </c>
      <c r="I45" s="96" t="e">
        <f t="shared" si="34"/>
        <v>#N/A</v>
      </c>
      <c r="J45" s="4"/>
      <c r="K45" s="4"/>
      <c r="L45" s="77"/>
      <c r="M45" s="128">
        <f t="shared" si="1"/>
        <v>13</v>
      </c>
      <c r="N45" s="115">
        <f t="shared" si="3"/>
        <v>2880</v>
      </c>
      <c r="O45" s="131" t="e">
        <f t="shared" si="9"/>
        <v>#N/A</v>
      </c>
      <c r="P45" s="131" t="e">
        <f t="shared" si="21"/>
        <v>#N/A</v>
      </c>
      <c r="Q45" s="131" t="e">
        <f t="shared" si="22"/>
        <v>#N/A</v>
      </c>
      <c r="R45" s="131" t="e">
        <f t="shared" si="10"/>
        <v>#N/A</v>
      </c>
      <c r="S45" s="131" t="e">
        <f t="shared" si="11"/>
        <v>#N/A</v>
      </c>
      <c r="T45" s="131" t="e">
        <f t="shared" si="4"/>
        <v>#N/A</v>
      </c>
      <c r="U45" s="131" t="e">
        <f t="shared" si="5"/>
        <v>#N/A</v>
      </c>
      <c r="V45" s="133" t="e">
        <f t="shared" si="23"/>
        <v>#N/A</v>
      </c>
      <c r="W45" s="133" t="e">
        <f t="shared" si="24"/>
        <v>#N/A</v>
      </c>
      <c r="X45" s="133" t="e">
        <f t="shared" si="25"/>
        <v>#N/A</v>
      </c>
      <c r="Y45" s="131" t="e">
        <f t="shared" si="26"/>
        <v>#N/A</v>
      </c>
      <c r="Z45" s="115"/>
      <c r="AB45" s="157">
        <f t="shared" si="29"/>
        <v>0.9</v>
      </c>
      <c r="AC45" s="158">
        <f t="shared" si="30"/>
        <v>3685.5</v>
      </c>
      <c r="AD45" s="7"/>
      <c r="AE45" s="342" t="e">
        <f t="shared" si="31"/>
        <v>#N/A</v>
      </c>
      <c r="AF45" s="150" t="e">
        <f t="shared" si="32"/>
        <v>#N/A</v>
      </c>
      <c r="AG45" s="150" t="e">
        <f t="shared" si="35"/>
        <v>#N/A</v>
      </c>
      <c r="AH45" s="153" t="e">
        <f t="shared" si="36"/>
        <v>#N/A</v>
      </c>
      <c r="AI45" s="152" t="e">
        <f t="shared" si="37"/>
        <v>#N/A</v>
      </c>
      <c r="AJ45" s="96" t="e">
        <f t="shared" si="38"/>
        <v>#N/A</v>
      </c>
      <c r="AK45" s="4"/>
      <c r="AL45" s="4"/>
      <c r="AM45" s="188"/>
      <c r="AN45" s="114"/>
      <c r="AO45" s="114"/>
      <c r="AP45" s="134" t="s">
        <v>10</v>
      </c>
      <c r="AQ45" s="134"/>
      <c r="AR45" s="114"/>
      <c r="AS45" s="135"/>
      <c r="AT45" s="114"/>
      <c r="AU45" s="114"/>
      <c r="AV45" s="114"/>
      <c r="AW45" s="114"/>
      <c r="AX45" s="114"/>
      <c r="AY45" s="114"/>
      <c r="AZ45" s="114"/>
      <c r="BA45" s="117"/>
      <c r="BB45" s="76"/>
      <c r="BC45" s="76"/>
      <c r="BD45" s="76"/>
      <c r="BE45" s="76"/>
      <c r="BF45" s="76"/>
      <c r="BG45" s="76"/>
      <c r="BH45" s="76"/>
      <c r="BI45" s="76"/>
      <c r="BJ45" s="76"/>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row>
    <row r="46" spans="1:210" ht="12" customHeight="1">
      <c r="A46" s="162">
        <f t="shared" si="33"/>
        <v>11</v>
      </c>
      <c r="B46" s="164">
        <f t="shared" si="27"/>
        <v>2400</v>
      </c>
      <c r="C46" s="344"/>
      <c r="D46" s="347" t="e">
        <f t="shared" si="28"/>
        <v>#N/A</v>
      </c>
      <c r="E46" s="150" t="e">
        <f t="shared" si="39"/>
        <v>#N/A</v>
      </c>
      <c r="F46" s="150" t="e">
        <f t="shared" si="40"/>
        <v>#N/A</v>
      </c>
      <c r="G46" s="153" t="e">
        <f t="shared" si="41"/>
        <v>#N/A</v>
      </c>
      <c r="H46" s="152" t="e">
        <f t="shared" si="42"/>
        <v>#N/A</v>
      </c>
      <c r="I46" s="96" t="e">
        <f t="shared" si="34"/>
        <v>#N/A</v>
      </c>
      <c r="J46" s="4"/>
      <c r="K46" s="4"/>
      <c r="L46" s="77"/>
      <c r="M46" s="128">
        <f t="shared" si="1"/>
        <v>14</v>
      </c>
      <c r="N46" s="115">
        <f t="shared" si="3"/>
        <v>3120</v>
      </c>
      <c r="O46" s="131" t="e">
        <f t="shared" si="9"/>
        <v>#N/A</v>
      </c>
      <c r="P46" s="131" t="e">
        <f t="shared" si="21"/>
        <v>#N/A</v>
      </c>
      <c r="Q46" s="131" t="e">
        <f t="shared" si="22"/>
        <v>#N/A</v>
      </c>
      <c r="R46" s="131" t="e">
        <f t="shared" si="10"/>
        <v>#N/A</v>
      </c>
      <c r="S46" s="131" t="e">
        <f t="shared" si="11"/>
        <v>#N/A</v>
      </c>
      <c r="T46" s="131" t="e">
        <f t="shared" si="4"/>
        <v>#N/A</v>
      </c>
      <c r="U46" s="131" t="e">
        <f t="shared" si="5"/>
        <v>#N/A</v>
      </c>
      <c r="V46" s="133" t="e">
        <f t="shared" si="23"/>
        <v>#N/A</v>
      </c>
      <c r="W46" s="133" t="e">
        <f t="shared" si="24"/>
        <v>#N/A</v>
      </c>
      <c r="X46" s="133" t="e">
        <f t="shared" si="25"/>
        <v>#N/A</v>
      </c>
      <c r="Y46" s="131" t="e">
        <f t="shared" si="26"/>
        <v>#N/A</v>
      </c>
      <c r="Z46" s="115"/>
      <c r="AB46" s="159">
        <f t="shared" si="29"/>
        <v>1</v>
      </c>
      <c r="AC46" s="160">
        <f t="shared" si="30"/>
        <v>4095</v>
      </c>
      <c r="AD46" s="7"/>
      <c r="AE46" s="342" t="e">
        <f t="shared" si="31"/>
        <v>#N/A</v>
      </c>
      <c r="AF46" s="102" t="e">
        <f t="shared" si="32"/>
        <v>#N/A</v>
      </c>
      <c r="AG46" s="102" t="e">
        <f t="shared" si="35"/>
        <v>#N/A</v>
      </c>
      <c r="AH46" s="154" t="e">
        <f t="shared" si="36"/>
        <v>#N/A</v>
      </c>
      <c r="AI46" s="97" t="e">
        <f t="shared" si="37"/>
        <v>#N/A</v>
      </c>
      <c r="AJ46" s="96" t="e">
        <f t="shared" si="38"/>
        <v>#N/A</v>
      </c>
      <c r="AK46" s="6"/>
      <c r="AL46" s="4"/>
      <c r="AM46" s="188"/>
      <c r="AN46" s="114"/>
      <c r="AO46" s="119" t="s">
        <v>7</v>
      </c>
      <c r="AP46" s="134" t="e">
        <f>(AQ43-AQ33)/AO43</f>
        <v>#N/A</v>
      </c>
      <c r="AQ46" s="114"/>
      <c r="AR46" s="114"/>
      <c r="AS46" s="135"/>
      <c r="AT46" s="114"/>
      <c r="AU46" s="114"/>
      <c r="AV46" s="114"/>
      <c r="AW46" s="114"/>
      <c r="AX46" s="114"/>
      <c r="AY46" s="114"/>
      <c r="AZ46" s="114"/>
      <c r="BA46" s="117"/>
      <c r="BB46" s="76"/>
      <c r="BC46" s="76"/>
      <c r="BD46" s="76"/>
      <c r="BE46" s="76"/>
      <c r="BF46" s="76"/>
      <c r="BG46" s="76"/>
      <c r="BH46" s="76"/>
      <c r="BI46" s="76"/>
      <c r="BJ46" s="76"/>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row>
    <row r="47" spans="1:210" ht="12" customHeight="1">
      <c r="A47" s="162">
        <f t="shared" si="33"/>
        <v>12</v>
      </c>
      <c r="B47" s="164">
        <f t="shared" si="27"/>
        <v>2640</v>
      </c>
      <c r="C47" s="344"/>
      <c r="D47" s="347" t="e">
        <f t="shared" si="28"/>
        <v>#N/A</v>
      </c>
      <c r="E47" s="150" t="e">
        <f t="shared" si="39"/>
        <v>#N/A</v>
      </c>
      <c r="F47" s="150" t="e">
        <f t="shared" si="40"/>
        <v>#N/A</v>
      </c>
      <c r="G47" s="153" t="e">
        <f t="shared" si="41"/>
        <v>#N/A</v>
      </c>
      <c r="H47" s="152" t="e">
        <f t="shared" si="42"/>
        <v>#N/A</v>
      </c>
      <c r="I47" s="96" t="e">
        <f t="shared" si="34"/>
        <v>#N/A</v>
      </c>
      <c r="J47" s="4"/>
      <c r="K47" s="4"/>
      <c r="L47" s="8"/>
      <c r="M47" s="128">
        <f t="shared" si="1"/>
        <v>15</v>
      </c>
      <c r="N47" s="115">
        <f t="shared" si="3"/>
        <v>3360</v>
      </c>
      <c r="O47" s="131" t="e">
        <f t="shared" si="9"/>
        <v>#N/A</v>
      </c>
      <c r="P47" s="131" t="e">
        <f t="shared" si="21"/>
        <v>#N/A</v>
      </c>
      <c r="Q47" s="131" t="e">
        <f t="shared" si="22"/>
        <v>#N/A</v>
      </c>
      <c r="R47" s="131" t="e">
        <f t="shared" si="10"/>
        <v>#N/A</v>
      </c>
      <c r="S47" s="131" t="e">
        <f t="shared" si="11"/>
        <v>#N/A</v>
      </c>
      <c r="T47" s="131" t="e">
        <f t="shared" si="4"/>
        <v>#N/A</v>
      </c>
      <c r="U47" s="131" t="e">
        <f t="shared" si="5"/>
        <v>#N/A</v>
      </c>
      <c r="V47" s="133" t="e">
        <f t="shared" si="23"/>
        <v>#N/A</v>
      </c>
      <c r="W47" s="133" t="e">
        <f t="shared" si="24"/>
        <v>#N/A</v>
      </c>
      <c r="X47" s="133" t="e">
        <f t="shared" si="25"/>
        <v>#N/A</v>
      </c>
      <c r="Y47" s="131" t="e">
        <f t="shared" si="26"/>
        <v>#N/A</v>
      </c>
      <c r="Z47" s="115"/>
      <c r="AB47" s="76"/>
      <c r="AC47" s="193" t="s">
        <v>34</v>
      </c>
      <c r="AD47" s="80" t="e">
        <f>AE36-AG33</f>
        <v>#N/A</v>
      </c>
      <c r="AE47" s="79" t="e">
        <f>AE36</f>
        <v>#N/A</v>
      </c>
      <c r="AF47" s="194" t="s">
        <v>36</v>
      </c>
      <c r="AG47" s="191"/>
      <c r="AH47" s="191"/>
      <c r="AI47" s="190" t="s">
        <v>170</v>
      </c>
      <c r="AJ47" s="18" t="e">
        <f>MAX(AJ37:AJ46)</f>
        <v>#N/A</v>
      </c>
      <c r="AK47" s="76"/>
      <c r="AN47" s="114"/>
      <c r="AO47" s="119" t="s">
        <v>8</v>
      </c>
      <c r="AP47" s="133" t="e">
        <f>AQ33</f>
        <v>#N/A</v>
      </c>
      <c r="AQ47" s="134"/>
      <c r="AR47" s="114"/>
      <c r="AS47" s="135"/>
      <c r="AT47" s="114"/>
      <c r="AU47" s="114"/>
      <c r="AV47" s="114"/>
      <c r="AW47" s="114"/>
      <c r="AX47" s="114"/>
      <c r="AY47" s="114"/>
      <c r="AZ47" s="114"/>
      <c r="BA47" s="117"/>
      <c r="BB47" s="76"/>
      <c r="BC47" s="76"/>
      <c r="BD47" s="76"/>
      <c r="BE47" s="76"/>
      <c r="BF47" s="76"/>
      <c r="BG47" s="76"/>
      <c r="BH47" s="76"/>
      <c r="BI47" s="76"/>
      <c r="BJ47" s="76"/>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row>
    <row r="48" spans="1:210" ht="12" customHeight="1">
      <c r="A48" s="162">
        <f t="shared" si="33"/>
        <v>13</v>
      </c>
      <c r="B48" s="164">
        <f t="shared" si="27"/>
        <v>2880</v>
      </c>
      <c r="C48" s="344"/>
      <c r="D48" s="347" t="e">
        <f t="shared" si="28"/>
        <v>#N/A</v>
      </c>
      <c r="E48" s="150" t="e">
        <f t="shared" si="39"/>
        <v>#N/A</v>
      </c>
      <c r="F48" s="150" t="e">
        <f t="shared" si="40"/>
        <v>#N/A</v>
      </c>
      <c r="G48" s="153" t="e">
        <f t="shared" si="41"/>
        <v>#N/A</v>
      </c>
      <c r="H48" s="152" t="e">
        <f t="shared" si="42"/>
        <v>#N/A</v>
      </c>
      <c r="I48" s="96" t="e">
        <f t="shared" si="34"/>
        <v>#N/A</v>
      </c>
      <c r="J48" s="4"/>
      <c r="K48" s="4"/>
      <c r="L48" s="77"/>
      <c r="M48" s="128">
        <f t="shared" si="1"/>
        <v>16</v>
      </c>
      <c r="N48" s="115">
        <f t="shared" si="3"/>
        <v>3600</v>
      </c>
      <c r="O48" s="131" t="e">
        <f t="shared" si="9"/>
        <v>#N/A</v>
      </c>
      <c r="P48" s="131" t="e">
        <f t="shared" si="21"/>
        <v>#N/A</v>
      </c>
      <c r="Q48" s="131" t="e">
        <f t="shared" si="22"/>
        <v>#N/A</v>
      </c>
      <c r="R48" s="131" t="e">
        <f t="shared" si="10"/>
        <v>#N/A</v>
      </c>
      <c r="S48" s="131" t="e">
        <f t="shared" si="11"/>
        <v>#N/A</v>
      </c>
      <c r="T48" s="131" t="e">
        <f t="shared" si="4"/>
        <v>#N/A</v>
      </c>
      <c r="U48" s="131" t="e">
        <f t="shared" si="5"/>
        <v>#N/A</v>
      </c>
      <c r="V48" s="133" t="e">
        <f t="shared" si="23"/>
        <v>#N/A</v>
      </c>
      <c r="W48" s="133" t="e">
        <f t="shared" si="24"/>
        <v>#N/A</v>
      </c>
      <c r="X48" s="133" t="e">
        <f t="shared" si="25"/>
        <v>#N/A</v>
      </c>
      <c r="Y48" s="131" t="e">
        <f t="shared" si="26"/>
        <v>#N/A</v>
      </c>
      <c r="Z48" s="115"/>
      <c r="AB48" s="76"/>
      <c r="AC48" s="193" t="s">
        <v>172</v>
      </c>
      <c r="AD48" s="80" t="e">
        <f>AE46-AG33</f>
        <v>#N/A</v>
      </c>
      <c r="AE48" s="79" t="e">
        <f>AE46</f>
        <v>#N/A</v>
      </c>
      <c r="AF48" s="194" t="s">
        <v>173</v>
      </c>
      <c r="AG48" s="76"/>
      <c r="AH48" s="76"/>
      <c r="AI48" s="191" t="s">
        <v>164</v>
      </c>
      <c r="AJ48" s="104">
        <f>Tol_kontrastrespons</f>
        <v>0.15</v>
      </c>
      <c r="AK48" s="76"/>
      <c r="AN48" s="135"/>
      <c r="AO48" s="114"/>
      <c r="AP48" s="114"/>
      <c r="AQ48" s="114"/>
      <c r="AR48" s="114"/>
      <c r="AS48" s="114"/>
      <c r="AT48" s="114"/>
      <c r="AU48" s="114"/>
      <c r="AV48" s="114"/>
      <c r="AW48" s="114"/>
      <c r="AX48" s="114"/>
      <c r="AY48" s="114"/>
      <c r="AZ48" s="114"/>
      <c r="BA48" s="117"/>
      <c r="BB48" s="76"/>
      <c r="BC48" s="76"/>
      <c r="BD48" s="76"/>
      <c r="BE48" s="76"/>
      <c r="BF48" s="76"/>
      <c r="BG48" s="76"/>
      <c r="BH48" s="76"/>
      <c r="BI48" s="76"/>
      <c r="BJ48" s="76"/>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row>
    <row r="49" spans="1:208" ht="12" customHeight="1">
      <c r="A49" s="162">
        <f t="shared" si="33"/>
        <v>14</v>
      </c>
      <c r="B49" s="164">
        <f t="shared" si="27"/>
        <v>3120</v>
      </c>
      <c r="C49" s="344"/>
      <c r="D49" s="347" t="e">
        <f t="shared" si="28"/>
        <v>#N/A</v>
      </c>
      <c r="E49" s="150" t="e">
        <f t="shared" si="39"/>
        <v>#N/A</v>
      </c>
      <c r="F49" s="150" t="e">
        <f t="shared" si="40"/>
        <v>#N/A</v>
      </c>
      <c r="G49" s="153" t="e">
        <f t="shared" si="41"/>
        <v>#N/A</v>
      </c>
      <c r="H49" s="152" t="e">
        <f t="shared" si="42"/>
        <v>#N/A</v>
      </c>
      <c r="I49" s="96" t="e">
        <f t="shared" si="34"/>
        <v>#N/A</v>
      </c>
      <c r="J49" s="4"/>
      <c r="K49" s="4"/>
      <c r="L49" s="77"/>
      <c r="M49" s="128">
        <f t="shared" si="1"/>
        <v>17</v>
      </c>
      <c r="N49" s="115">
        <f t="shared" si="3"/>
        <v>3840</v>
      </c>
      <c r="O49" s="131" t="e">
        <f t="shared" si="9"/>
        <v>#N/A</v>
      </c>
      <c r="P49" s="131" t="e">
        <f t="shared" si="21"/>
        <v>#N/A</v>
      </c>
      <c r="Q49" s="131" t="e">
        <f t="shared" si="22"/>
        <v>#N/A</v>
      </c>
      <c r="R49" s="131" t="e">
        <f t="shared" si="10"/>
        <v>#N/A</v>
      </c>
      <c r="S49" s="131" t="e">
        <f t="shared" si="11"/>
        <v>#N/A</v>
      </c>
      <c r="T49" s="131" t="e">
        <f t="shared" si="4"/>
        <v>#N/A</v>
      </c>
      <c r="U49" s="131" t="e">
        <f t="shared" si="5"/>
        <v>#N/A</v>
      </c>
      <c r="V49" s="133" t="e">
        <f t="shared" si="23"/>
        <v>#N/A</v>
      </c>
      <c r="W49" s="133" t="e">
        <f t="shared" si="24"/>
        <v>#N/A</v>
      </c>
      <c r="X49" s="133" t="e">
        <f t="shared" si="25"/>
        <v>#N/A</v>
      </c>
      <c r="Y49" s="131" t="e">
        <f t="shared" si="26"/>
        <v>#N/A</v>
      </c>
      <c r="Z49" s="115"/>
      <c r="AB49" s="192"/>
      <c r="AC49" s="192"/>
      <c r="AD49" s="193" t="s">
        <v>178</v>
      </c>
      <c r="AE49" s="26" t="e">
        <f>AE48/AE47</f>
        <v>#N/A</v>
      </c>
      <c r="AF49" s="103">
        <f>Tol_kontrastforhold</f>
        <v>250</v>
      </c>
      <c r="AG49" s="191" t="s">
        <v>164</v>
      </c>
      <c r="AH49" s="76"/>
      <c r="AI49" s="76"/>
      <c r="AJ49" s="76"/>
      <c r="AK49" s="76"/>
      <c r="AN49" s="135"/>
      <c r="AO49" s="114"/>
      <c r="AP49" s="114"/>
      <c r="AQ49" s="114"/>
      <c r="AR49" s="114"/>
      <c r="AS49" s="114"/>
      <c r="AT49" s="114"/>
      <c r="AU49" s="114"/>
      <c r="AV49" s="114"/>
      <c r="AW49" s="114"/>
      <c r="AX49" s="114"/>
      <c r="AY49" s="114"/>
      <c r="AZ49" s="114"/>
      <c r="BA49" s="117"/>
      <c r="BB49" s="76"/>
      <c r="BC49" s="76"/>
      <c r="BD49" s="76"/>
      <c r="BE49" s="76"/>
      <c r="BF49" s="76"/>
      <c r="BG49" s="76"/>
      <c r="BH49" s="76"/>
      <c r="BI49" s="76"/>
      <c r="BJ49" s="76"/>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row>
    <row r="50" spans="1:208" ht="12" customHeight="1">
      <c r="A50" s="162">
        <f t="shared" si="33"/>
        <v>15</v>
      </c>
      <c r="B50" s="164">
        <f t="shared" si="27"/>
        <v>3360</v>
      </c>
      <c r="C50" s="344"/>
      <c r="D50" s="347" t="e">
        <f t="shared" si="28"/>
        <v>#N/A</v>
      </c>
      <c r="E50" s="150" t="e">
        <f t="shared" si="39"/>
        <v>#N/A</v>
      </c>
      <c r="F50" s="150" t="e">
        <f t="shared" si="40"/>
        <v>#N/A</v>
      </c>
      <c r="G50" s="153" t="e">
        <f t="shared" si="41"/>
        <v>#N/A</v>
      </c>
      <c r="H50" s="152" t="e">
        <f t="shared" si="42"/>
        <v>#N/A</v>
      </c>
      <c r="I50" s="96" t="e">
        <f t="shared" si="34"/>
        <v>#N/A</v>
      </c>
      <c r="J50" s="4"/>
      <c r="K50" s="4" t="s">
        <v>275</v>
      </c>
      <c r="L50" s="8"/>
      <c r="M50" s="128">
        <f t="shared" si="1"/>
        <v>18</v>
      </c>
      <c r="N50" s="115">
        <f t="shared" si="3"/>
        <v>4080</v>
      </c>
      <c r="O50" s="129" t="e">
        <f>D53</f>
        <v>#N/A</v>
      </c>
      <c r="P50" s="129" t="e">
        <f>iA_+iB_*LOG10(O50)+iC_*LOG10(O50)^2+iD_*LOG10(O50)^3+iE_*LOG10(O50)^4+iF_*LOG10(O50)^5+iG_*LOG10(O50)^6+iH_*LOG10(O50)^7+iI_*LOG10(O50)^8</f>
        <v>#N/A</v>
      </c>
      <c r="Q50" s="131" t="e">
        <f t="shared" si="22"/>
        <v>#N/A</v>
      </c>
      <c r="R50" s="131" t="e">
        <f t="shared" si="10"/>
        <v>#N/A</v>
      </c>
      <c r="S50" s="131" t="e">
        <f t="shared" si="11"/>
        <v>#N/A</v>
      </c>
      <c r="T50" s="131" t="e">
        <f t="shared" si="4"/>
        <v>#N/A</v>
      </c>
      <c r="U50" s="131" t="e">
        <f t="shared" si="5"/>
        <v>#N/A</v>
      </c>
      <c r="V50" s="133" t="e">
        <f t="shared" si="23"/>
        <v>#N/A</v>
      </c>
      <c r="W50" s="133" t="e">
        <f t="shared" si="24"/>
        <v>#N/A</v>
      </c>
      <c r="X50" s="133" t="e">
        <f t="shared" si="25"/>
        <v>#N/A</v>
      </c>
      <c r="Y50" s="131" t="e">
        <f t="shared" si="26"/>
        <v>#N/A</v>
      </c>
      <c r="Z50" s="114"/>
      <c r="AB50" s="192"/>
      <c r="AC50" s="192"/>
      <c r="AD50" s="193" t="s">
        <v>258</v>
      </c>
      <c r="AE50" s="26" t="e">
        <f>AD47/Ambient_L</f>
        <v>#N/A</v>
      </c>
      <c r="AF50" s="240">
        <f>Tol_kontrastforhold2</f>
        <v>1.5</v>
      </c>
      <c r="AG50" s="191" t="s">
        <v>164</v>
      </c>
      <c r="AH50" s="76"/>
      <c r="AI50" s="76"/>
      <c r="AJ50" s="76"/>
      <c r="AK50" s="76"/>
      <c r="AN50" s="135"/>
      <c r="AO50" s="114"/>
      <c r="AP50" s="114"/>
      <c r="AQ50" s="114"/>
      <c r="AR50" s="114"/>
      <c r="AS50" s="114"/>
      <c r="AT50" s="114"/>
      <c r="AU50" s="114"/>
      <c r="AV50" s="114"/>
      <c r="AW50" s="114"/>
      <c r="AX50" s="114"/>
      <c r="AY50" s="114"/>
      <c r="AZ50" s="114"/>
      <c r="BA50" s="117"/>
      <c r="BB50" s="76"/>
      <c r="BC50" s="76"/>
      <c r="BD50" s="76"/>
      <c r="BE50" s="76"/>
      <c r="BF50" s="76"/>
      <c r="BG50" s="76"/>
      <c r="BH50" s="76"/>
      <c r="BI50" s="76"/>
      <c r="BJ50" s="76"/>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row>
    <row r="51" spans="1:208" ht="12" customHeight="1">
      <c r="A51" s="162">
        <f t="shared" si="33"/>
        <v>16</v>
      </c>
      <c r="B51" s="164">
        <f t="shared" si="27"/>
        <v>3600</v>
      </c>
      <c r="C51" s="344"/>
      <c r="D51" s="347" t="e">
        <f t="shared" si="28"/>
        <v>#N/A</v>
      </c>
      <c r="E51" s="150" t="e">
        <f t="shared" si="39"/>
        <v>#N/A</v>
      </c>
      <c r="F51" s="150" t="e">
        <f t="shared" si="40"/>
        <v>#N/A</v>
      </c>
      <c r="G51" s="153" t="e">
        <f t="shared" si="41"/>
        <v>#N/A</v>
      </c>
      <c r="H51" s="152" t="e">
        <f t="shared" si="42"/>
        <v>#N/A</v>
      </c>
      <c r="I51" s="96" t="e">
        <f t="shared" si="34"/>
        <v>#N/A</v>
      </c>
      <c r="J51" s="4"/>
      <c r="K51" s="4"/>
      <c r="L51" s="8"/>
      <c r="M51" s="113"/>
      <c r="N51" s="114"/>
      <c r="O51" s="115"/>
      <c r="P51" s="114"/>
      <c r="Q51" s="114"/>
      <c r="R51" s="134"/>
      <c r="S51" s="135"/>
      <c r="T51" s="114"/>
      <c r="U51" s="114"/>
      <c r="V51" s="114"/>
      <c r="W51" s="114"/>
      <c r="X51" s="114"/>
      <c r="Y51" s="114"/>
      <c r="Z51" s="114"/>
      <c r="AB51" s="76"/>
      <c r="AC51" s="76"/>
      <c r="AD51" s="76"/>
      <c r="AE51" s="76"/>
      <c r="AF51" s="76"/>
      <c r="AG51" s="76"/>
      <c r="AH51" s="76"/>
      <c r="AI51" s="76"/>
      <c r="AJ51" s="76"/>
      <c r="AK51" s="76"/>
      <c r="AN51" s="135"/>
      <c r="AO51" s="114"/>
      <c r="AP51" s="114"/>
      <c r="AQ51" s="114"/>
      <c r="AR51" s="114"/>
      <c r="AS51" s="114"/>
      <c r="AT51" s="114"/>
      <c r="AU51" s="114"/>
      <c r="AV51" s="114"/>
      <c r="AW51" s="114"/>
      <c r="AX51" s="114"/>
      <c r="AY51" s="114"/>
      <c r="AZ51" s="114"/>
      <c r="BA51" s="117"/>
      <c r="BB51" s="76"/>
      <c r="BC51" s="76"/>
      <c r="BD51" s="76"/>
      <c r="BE51" s="76"/>
      <c r="BF51" s="76"/>
      <c r="BG51" s="76"/>
      <c r="BH51" s="76"/>
      <c r="BI51" s="76"/>
      <c r="BJ51" s="76"/>
      <c r="BK51" s="76"/>
      <c r="BL51" s="76"/>
      <c r="BM51" s="76"/>
      <c r="BN51" s="76"/>
      <c r="BO51" s="76"/>
      <c r="BP51" s="76"/>
      <c r="BQ51" s="76"/>
      <c r="BR51" s="76"/>
      <c r="BS51" s="76"/>
      <c r="BT51" s="76"/>
    </row>
    <row r="52" spans="1:208" ht="12" customHeight="1">
      <c r="A52" s="162">
        <f t="shared" si="33"/>
        <v>17</v>
      </c>
      <c r="B52" s="164">
        <f t="shared" si="27"/>
        <v>3840</v>
      </c>
      <c r="C52" s="344"/>
      <c r="D52" s="347" t="e">
        <f t="shared" si="28"/>
        <v>#N/A</v>
      </c>
      <c r="E52" s="150" t="e">
        <f t="shared" si="39"/>
        <v>#N/A</v>
      </c>
      <c r="F52" s="150" t="e">
        <f t="shared" si="40"/>
        <v>#N/A</v>
      </c>
      <c r="G52" s="153" t="e">
        <f t="shared" si="41"/>
        <v>#N/A</v>
      </c>
      <c r="H52" s="152" t="e">
        <f t="shared" si="42"/>
        <v>#N/A</v>
      </c>
      <c r="I52" s="96" t="e">
        <f t="shared" si="34"/>
        <v>#N/A</v>
      </c>
      <c r="J52" s="4"/>
      <c r="K52" s="4"/>
      <c r="L52" s="8"/>
      <c r="M52" s="113"/>
      <c r="N52" s="114"/>
      <c r="O52" s="134" t="s">
        <v>10</v>
      </c>
      <c r="P52" s="134"/>
      <c r="Q52" s="114"/>
      <c r="R52" s="135"/>
      <c r="S52" s="114"/>
      <c r="T52" s="114"/>
      <c r="U52" s="114"/>
      <c r="V52" s="114"/>
      <c r="W52" s="114"/>
      <c r="X52" s="114"/>
      <c r="Y52" s="114"/>
      <c r="Z52" s="114"/>
      <c r="AB52" s="76"/>
      <c r="AC52" s="76"/>
      <c r="AD52" s="76"/>
      <c r="AE52" s="76"/>
      <c r="AF52" s="76"/>
      <c r="AG52" s="76"/>
      <c r="AH52" s="76"/>
      <c r="AI52" s="76"/>
      <c r="AJ52" s="76"/>
      <c r="AK52" s="13"/>
      <c r="AL52" s="13"/>
      <c r="AM52" s="189"/>
      <c r="AN52" s="135"/>
      <c r="AO52" s="114"/>
      <c r="AP52" s="114"/>
      <c r="AQ52" s="114"/>
      <c r="AR52" s="114"/>
      <c r="AS52" s="114"/>
      <c r="AT52" s="114"/>
      <c r="AU52" s="114"/>
      <c r="AV52" s="114"/>
      <c r="AW52" s="114"/>
      <c r="AX52" s="114"/>
      <c r="AY52" s="114"/>
      <c r="AZ52" s="114"/>
      <c r="BA52" s="117"/>
      <c r="BB52" s="76"/>
      <c r="BC52" s="76"/>
      <c r="BD52" s="76"/>
      <c r="BE52" s="76"/>
      <c r="BF52" s="76"/>
      <c r="BG52" s="76"/>
      <c r="BH52" s="76"/>
      <c r="BI52" s="76"/>
      <c r="BJ52" s="76"/>
      <c r="BK52" s="76"/>
      <c r="BL52" s="76"/>
      <c r="BM52" s="76"/>
      <c r="BN52" s="76"/>
      <c r="BO52" s="76"/>
      <c r="BP52" s="76"/>
      <c r="BQ52" s="76"/>
      <c r="BR52" s="76"/>
      <c r="BS52" s="76"/>
      <c r="BT52" s="76"/>
    </row>
    <row r="53" spans="1:208" ht="12" customHeight="1">
      <c r="A53" s="165">
        <f t="shared" si="33"/>
        <v>18</v>
      </c>
      <c r="B53" s="166">
        <f t="shared" si="27"/>
        <v>4080</v>
      </c>
      <c r="C53" s="345"/>
      <c r="D53" s="347" t="e">
        <f t="shared" si="28"/>
        <v>#N/A</v>
      </c>
      <c r="E53" s="102" t="e">
        <f t="shared" si="39"/>
        <v>#N/A</v>
      </c>
      <c r="F53" s="102" t="e">
        <f t="shared" si="40"/>
        <v>#N/A</v>
      </c>
      <c r="G53" s="154" t="e">
        <f t="shared" si="41"/>
        <v>#N/A</v>
      </c>
      <c r="H53" s="161" t="e">
        <f t="shared" si="42"/>
        <v>#N/A</v>
      </c>
      <c r="I53" s="96" t="e">
        <f t="shared" si="34"/>
        <v>#N/A</v>
      </c>
      <c r="J53" s="6"/>
      <c r="K53" s="4"/>
      <c r="L53" s="9"/>
      <c r="M53" s="113"/>
      <c r="N53" s="119" t="s">
        <v>7</v>
      </c>
      <c r="O53" s="134" t="e">
        <f>(P50-P33)/N50</f>
        <v>#N/A</v>
      </c>
      <c r="P53" s="114"/>
      <c r="Q53" s="114"/>
      <c r="R53" s="135"/>
      <c r="S53" s="114"/>
      <c r="T53" s="114"/>
      <c r="U53" s="114"/>
      <c r="V53" s="114"/>
      <c r="W53" s="114"/>
      <c r="X53" s="114"/>
      <c r="Y53" s="114"/>
      <c r="Z53" s="114"/>
      <c r="AB53" s="76"/>
      <c r="AC53" s="76"/>
      <c r="AD53" s="76"/>
      <c r="AE53" s="76"/>
      <c r="AF53" s="76"/>
      <c r="AG53" s="76"/>
      <c r="AH53" s="76"/>
      <c r="AI53" s="76"/>
      <c r="AJ53" s="76"/>
      <c r="AK53" s="13"/>
      <c r="AL53" s="13"/>
      <c r="AM53" s="189"/>
      <c r="AN53" s="135"/>
      <c r="AO53" s="114"/>
      <c r="AP53" s="114"/>
      <c r="AQ53" s="114"/>
      <c r="AR53" s="114"/>
      <c r="AS53" s="114"/>
      <c r="AT53" s="114"/>
      <c r="AU53" s="114"/>
      <c r="AV53" s="114"/>
      <c r="AW53" s="114"/>
      <c r="AX53" s="114"/>
      <c r="AY53" s="114"/>
      <c r="AZ53" s="114"/>
      <c r="BA53" s="117"/>
      <c r="BB53" s="76"/>
      <c r="BC53" s="76"/>
      <c r="BD53" s="76"/>
      <c r="BE53" s="76"/>
      <c r="BF53" s="76"/>
      <c r="BG53" s="76"/>
      <c r="BH53" s="76"/>
      <c r="BI53" s="76"/>
      <c r="BJ53" s="76"/>
      <c r="BK53" s="76"/>
      <c r="BL53" s="76"/>
      <c r="BM53" s="76"/>
      <c r="BN53" s="76"/>
      <c r="BO53" s="76"/>
      <c r="BP53" s="76"/>
      <c r="BQ53" s="76"/>
      <c r="BR53" s="76"/>
      <c r="BS53" s="76"/>
      <c r="BT53" s="76"/>
    </row>
    <row r="54" spans="1:208" ht="12" customHeight="1">
      <c r="B54" s="193" t="s">
        <v>34</v>
      </c>
      <c r="C54" s="80" t="e">
        <f>D36-Ambient_L</f>
        <v>#N/A</v>
      </c>
      <c r="D54" s="79" t="e">
        <f>D36</f>
        <v>#N/A</v>
      </c>
      <c r="E54" s="3" t="s">
        <v>36</v>
      </c>
      <c r="F54" s="191"/>
      <c r="G54" s="191"/>
      <c r="H54" s="190" t="s">
        <v>170</v>
      </c>
      <c r="I54" s="18" t="e">
        <f>MAX(I37:I53)</f>
        <v>#N/A</v>
      </c>
      <c r="M54" s="113"/>
      <c r="N54" s="119" t="s">
        <v>8</v>
      </c>
      <c r="O54" s="133" t="e">
        <f>P33</f>
        <v>#N/A</v>
      </c>
      <c r="P54" s="134"/>
      <c r="Q54" s="114"/>
      <c r="R54" s="135"/>
      <c r="S54" s="114"/>
      <c r="T54" s="114"/>
      <c r="U54" s="114"/>
      <c r="V54" s="114"/>
      <c r="W54" s="114"/>
      <c r="X54" s="114"/>
      <c r="Y54" s="114"/>
      <c r="Z54" s="114"/>
      <c r="AB54" s="76"/>
      <c r="AC54" s="76"/>
      <c r="AD54" s="76"/>
      <c r="AE54" s="76"/>
      <c r="AF54" s="76"/>
      <c r="AG54" s="76"/>
      <c r="AH54" s="76"/>
      <c r="AI54" s="76"/>
      <c r="AJ54" s="76"/>
      <c r="AK54" s="13"/>
      <c r="AL54" s="13"/>
      <c r="AM54" s="189"/>
      <c r="AN54" s="135"/>
      <c r="AO54" s="114"/>
      <c r="AP54" s="114"/>
      <c r="AQ54" s="114"/>
      <c r="AR54" s="114"/>
      <c r="AS54" s="114"/>
      <c r="AT54" s="114"/>
      <c r="AU54" s="114"/>
      <c r="AV54" s="114"/>
      <c r="AW54" s="114"/>
      <c r="AX54" s="114"/>
      <c r="AY54" s="114"/>
      <c r="AZ54" s="114"/>
      <c r="BA54" s="117"/>
      <c r="BB54" s="76"/>
      <c r="BC54" s="76"/>
      <c r="BD54" s="76"/>
      <c r="BE54" s="76"/>
      <c r="BF54" s="76"/>
      <c r="BG54" s="76"/>
      <c r="BH54" s="76"/>
      <c r="BI54" s="76"/>
      <c r="BJ54" s="76"/>
      <c r="BK54" s="76"/>
      <c r="BL54" s="76"/>
      <c r="BM54" s="76"/>
      <c r="BN54" s="76"/>
      <c r="BO54" s="76"/>
      <c r="BP54" s="76"/>
      <c r="BQ54" s="76"/>
      <c r="BR54" s="76"/>
      <c r="BS54" s="76"/>
      <c r="BT54" s="76"/>
    </row>
    <row r="55" spans="1:208" ht="12" customHeight="1">
      <c r="B55" s="193" t="s">
        <v>172</v>
      </c>
      <c r="C55" s="80" t="e">
        <f>D53-Ambient_L</f>
        <v>#N/A</v>
      </c>
      <c r="D55" s="79" t="e">
        <f>D53</f>
        <v>#N/A</v>
      </c>
      <c r="E55" s="3" t="s">
        <v>173</v>
      </c>
      <c r="H55" s="191" t="s">
        <v>164</v>
      </c>
      <c r="I55" s="104">
        <f>Tol_kontrastrespons</f>
        <v>0.15</v>
      </c>
      <c r="M55" s="136"/>
      <c r="N55" s="114"/>
      <c r="O55" s="114"/>
      <c r="P55" s="114"/>
      <c r="Q55" s="114"/>
      <c r="R55" s="114"/>
      <c r="S55" s="114"/>
      <c r="T55" s="114"/>
      <c r="U55" s="114"/>
      <c r="V55" s="114"/>
      <c r="W55" s="114"/>
      <c r="X55" s="114"/>
      <c r="Y55" s="114"/>
      <c r="Z55" s="114"/>
      <c r="AB55" s="76"/>
      <c r="AC55" s="76"/>
      <c r="AD55" s="76"/>
      <c r="AE55" s="76"/>
      <c r="AF55" s="76"/>
      <c r="AG55" s="76"/>
      <c r="AH55" s="76"/>
      <c r="AI55" s="76"/>
      <c r="AJ55" s="76"/>
      <c r="AK55" s="13"/>
      <c r="AL55" s="13"/>
      <c r="AM55" s="189"/>
      <c r="AN55" s="135"/>
      <c r="AO55" s="114"/>
      <c r="AP55" s="114"/>
      <c r="AQ55" s="114"/>
      <c r="AR55" s="114"/>
      <c r="AS55" s="114"/>
      <c r="AT55" s="114"/>
      <c r="AU55" s="114"/>
      <c r="AV55" s="114"/>
      <c r="AW55" s="114"/>
      <c r="AX55" s="114"/>
      <c r="AY55" s="114"/>
      <c r="AZ55" s="114"/>
      <c r="BA55" s="117"/>
      <c r="BB55" s="76"/>
      <c r="BC55" s="76"/>
      <c r="BD55" s="76"/>
      <c r="BE55" s="76"/>
      <c r="BF55" s="76"/>
      <c r="BG55" s="76"/>
      <c r="BH55" s="76"/>
      <c r="BI55" s="76"/>
      <c r="BJ55" s="76"/>
      <c r="BK55" s="76"/>
      <c r="BL55" s="76"/>
      <c r="BM55" s="76"/>
      <c r="BN55" s="76"/>
      <c r="BO55" s="76"/>
      <c r="BP55" s="76"/>
      <c r="BQ55" s="76"/>
      <c r="BR55" s="76"/>
      <c r="BS55" s="76"/>
      <c r="BT55" s="76"/>
    </row>
    <row r="56" spans="1:208" ht="12" customHeight="1">
      <c r="A56" s="192"/>
      <c r="B56" s="192"/>
      <c r="C56" s="193" t="s">
        <v>178</v>
      </c>
      <c r="D56" s="26" t="e">
        <f>D55/D54</f>
        <v>#N/A</v>
      </c>
      <c r="E56" s="103">
        <f>Tol_kontrastforhold</f>
        <v>250</v>
      </c>
      <c r="F56" s="191" t="s">
        <v>164</v>
      </c>
      <c r="M56" s="136"/>
      <c r="N56" s="114"/>
      <c r="O56" s="114"/>
      <c r="P56" s="114"/>
      <c r="Q56" s="114"/>
      <c r="R56" s="114"/>
      <c r="S56" s="114"/>
      <c r="T56" s="114"/>
      <c r="U56" s="114"/>
      <c r="V56" s="114"/>
      <c r="W56" s="114"/>
      <c r="X56" s="114"/>
      <c r="Y56" s="114"/>
      <c r="Z56" s="114"/>
      <c r="AB56" s="76"/>
      <c r="AC56" s="76"/>
      <c r="AD56" s="76"/>
      <c r="AE56" s="76"/>
      <c r="AF56" s="76"/>
      <c r="AG56" s="76"/>
      <c r="AH56" s="76"/>
      <c r="AI56" s="76"/>
      <c r="AJ56" s="76"/>
      <c r="AK56" s="13"/>
      <c r="AL56" s="13"/>
      <c r="AM56" s="189"/>
      <c r="AN56" s="135"/>
      <c r="AO56" s="114"/>
      <c r="AP56" s="114"/>
      <c r="AQ56" s="114"/>
      <c r="AR56" s="114"/>
      <c r="AS56" s="114"/>
      <c r="AT56" s="114"/>
      <c r="AU56" s="114"/>
      <c r="AV56" s="114"/>
      <c r="AW56" s="114"/>
      <c r="AX56" s="114"/>
      <c r="AY56" s="114"/>
      <c r="AZ56" s="114"/>
      <c r="BA56" s="117"/>
      <c r="BB56" s="76"/>
      <c r="BC56" s="76"/>
      <c r="BD56" s="76"/>
      <c r="BE56" s="76"/>
      <c r="BF56" s="76"/>
      <c r="BG56" s="76"/>
      <c r="BH56" s="76"/>
      <c r="BI56" s="76"/>
      <c r="BJ56" s="76"/>
      <c r="BK56" s="76"/>
      <c r="BL56" s="76"/>
      <c r="BM56" s="76"/>
      <c r="BN56" s="76"/>
      <c r="BO56" s="76"/>
      <c r="BP56" s="76"/>
      <c r="BQ56" s="76"/>
      <c r="BR56" s="76"/>
      <c r="BS56" s="76"/>
      <c r="BT56" s="76"/>
    </row>
    <row r="57" spans="1:208" ht="12" customHeight="1">
      <c r="A57" s="192"/>
      <c r="B57" s="192"/>
      <c r="C57" s="193" t="s">
        <v>258</v>
      </c>
      <c r="D57" s="26" t="e">
        <f>C54/Ambient_L</f>
        <v>#N/A</v>
      </c>
      <c r="E57" s="240">
        <f>Tol_kontrastforhold2</f>
        <v>1.5</v>
      </c>
      <c r="F57" s="191" t="s">
        <v>164</v>
      </c>
      <c r="G57" s="76"/>
      <c r="H57" s="76"/>
      <c r="I57" s="76"/>
      <c r="J57" s="76"/>
      <c r="L57" s="76"/>
      <c r="M57" s="136"/>
      <c r="N57" s="114"/>
      <c r="O57" s="114"/>
      <c r="P57" s="114"/>
      <c r="Q57" s="114"/>
      <c r="R57" s="114"/>
      <c r="S57" s="114"/>
      <c r="T57" s="114"/>
      <c r="U57" s="114"/>
      <c r="V57" s="114"/>
      <c r="W57" s="114"/>
      <c r="X57" s="114"/>
      <c r="Y57" s="114"/>
      <c r="Z57" s="114"/>
      <c r="AB57" s="76"/>
      <c r="AC57" s="76"/>
      <c r="AD57" s="76"/>
      <c r="AE57" s="76"/>
      <c r="AF57" s="76"/>
      <c r="AG57" s="76"/>
      <c r="AH57" s="76"/>
      <c r="AI57" s="76"/>
      <c r="AJ57" s="76"/>
      <c r="AK57" s="13"/>
      <c r="AL57" s="13"/>
      <c r="AM57" s="189"/>
      <c r="AN57" s="135"/>
      <c r="AO57" s="114"/>
      <c r="AP57" s="114"/>
      <c r="AQ57" s="114"/>
      <c r="AR57" s="114"/>
      <c r="AS57" s="114"/>
      <c r="AT57" s="114"/>
      <c r="AU57" s="114"/>
      <c r="AV57" s="114"/>
      <c r="AW57" s="114"/>
      <c r="AX57" s="114"/>
      <c r="AY57" s="114"/>
      <c r="AZ57" s="114"/>
      <c r="BA57" s="117"/>
      <c r="BB57" s="76"/>
      <c r="BC57" s="76"/>
      <c r="BD57" s="76"/>
      <c r="BE57" s="76"/>
      <c r="BF57" s="76"/>
      <c r="BG57" s="76"/>
      <c r="BH57" s="76"/>
      <c r="BI57" s="76"/>
      <c r="BJ57" s="76"/>
      <c r="BK57" s="76"/>
      <c r="BL57" s="76"/>
      <c r="BM57" s="76"/>
      <c r="BN57" s="76"/>
      <c r="BO57" s="76"/>
      <c r="BP57" s="76"/>
      <c r="BQ57" s="76"/>
      <c r="BR57" s="76"/>
      <c r="BS57" s="76"/>
      <c r="BT57" s="76"/>
    </row>
    <row r="58" spans="1:208" ht="12" customHeight="1">
      <c r="A58" s="16"/>
      <c r="B58" s="76"/>
      <c r="C58" s="76"/>
      <c r="D58" s="76"/>
      <c r="E58" s="76"/>
      <c r="F58" s="76"/>
      <c r="G58" s="76"/>
      <c r="H58" s="76"/>
      <c r="I58" s="76"/>
      <c r="J58" s="76"/>
      <c r="L58" s="76"/>
      <c r="M58" s="136"/>
      <c r="N58" s="114"/>
      <c r="O58" s="114"/>
      <c r="P58" s="114"/>
      <c r="Q58" s="114"/>
      <c r="R58" s="114"/>
      <c r="S58" s="114"/>
      <c r="T58" s="114"/>
      <c r="U58" s="114"/>
      <c r="V58" s="114"/>
      <c r="W58" s="114"/>
      <c r="X58" s="114"/>
      <c r="Y58" s="114"/>
      <c r="Z58" s="114"/>
      <c r="AB58" s="76"/>
      <c r="AC58" s="76"/>
      <c r="AD58" s="76"/>
      <c r="AE58" s="76"/>
      <c r="AF58" s="76"/>
      <c r="AG58" s="76"/>
      <c r="AH58" s="76"/>
      <c r="AI58" s="76"/>
      <c r="AJ58" s="76"/>
      <c r="AK58" s="13"/>
      <c r="AL58" s="13"/>
      <c r="AM58" s="189"/>
      <c r="AN58" s="135"/>
      <c r="AO58" s="114"/>
      <c r="AP58" s="114"/>
      <c r="AQ58" s="114"/>
      <c r="AR58" s="114"/>
      <c r="AS58" s="114"/>
      <c r="AT58" s="114"/>
      <c r="AU58" s="114"/>
      <c r="AV58" s="114"/>
      <c r="AW58" s="114"/>
      <c r="AX58" s="114"/>
      <c r="AY58" s="114"/>
      <c r="AZ58" s="114"/>
      <c r="BA58" s="117"/>
      <c r="BB58" s="76"/>
      <c r="BC58" s="76"/>
      <c r="BD58" s="76"/>
      <c r="BE58" s="76"/>
      <c r="BF58" s="76"/>
      <c r="BG58" s="76"/>
      <c r="BH58" s="76"/>
      <c r="BI58" s="76"/>
      <c r="BJ58" s="76"/>
      <c r="BK58" s="76"/>
      <c r="BL58" s="76"/>
      <c r="BM58" s="76"/>
      <c r="BN58" s="76"/>
      <c r="BO58" s="76"/>
      <c r="BP58" s="76"/>
      <c r="BQ58" s="76"/>
      <c r="BR58" s="76"/>
      <c r="BS58" s="76"/>
      <c r="BT58" s="76"/>
    </row>
    <row r="59" spans="1:208" ht="12" customHeight="1">
      <c r="M59" s="136"/>
      <c r="N59" s="114"/>
      <c r="O59" s="114"/>
      <c r="P59" s="114"/>
      <c r="Q59" s="114"/>
      <c r="R59" s="114"/>
      <c r="S59" s="114"/>
      <c r="T59" s="114"/>
      <c r="U59" s="114"/>
      <c r="V59" s="114"/>
      <c r="W59" s="114"/>
      <c r="X59" s="114"/>
      <c r="Y59" s="114"/>
      <c r="Z59" s="114"/>
      <c r="AB59" s="76"/>
      <c r="AC59" s="76"/>
      <c r="AD59" s="76"/>
      <c r="AE59" s="76"/>
      <c r="AF59" s="76"/>
      <c r="AG59" s="76"/>
      <c r="AH59" s="76"/>
      <c r="AI59" s="76"/>
      <c r="AJ59" s="76"/>
      <c r="AK59" s="13"/>
      <c r="AL59" s="13"/>
      <c r="AM59" s="189"/>
      <c r="AN59" s="135"/>
      <c r="AO59" s="114"/>
      <c r="AP59" s="114"/>
      <c r="AQ59" s="114"/>
      <c r="AR59" s="114"/>
      <c r="AS59" s="114"/>
      <c r="AT59" s="114"/>
      <c r="AU59" s="114"/>
      <c r="AV59" s="114"/>
      <c r="AW59" s="114"/>
      <c r="AX59" s="114"/>
      <c r="AY59" s="114"/>
      <c r="AZ59" s="114"/>
      <c r="BA59" s="117"/>
      <c r="BB59" s="76"/>
      <c r="BC59" s="76"/>
      <c r="BD59" s="76"/>
      <c r="BE59" s="76"/>
      <c r="BF59" s="76"/>
      <c r="BG59" s="76"/>
      <c r="BH59" s="76"/>
      <c r="BI59" s="76"/>
      <c r="BJ59" s="76"/>
      <c r="BK59" s="76"/>
      <c r="BL59" s="76"/>
      <c r="BM59" s="76"/>
      <c r="BN59" s="76"/>
      <c r="BO59" s="76"/>
      <c r="BP59" s="76"/>
      <c r="BQ59" s="76"/>
      <c r="BR59" s="76"/>
      <c r="BS59" s="76"/>
      <c r="BT59" s="76"/>
    </row>
    <row r="60" spans="1:208" ht="12" customHeight="1">
      <c r="J60" s="13"/>
      <c r="K60" s="13"/>
      <c r="L60" s="13"/>
      <c r="M60" s="136"/>
      <c r="N60" s="114"/>
      <c r="O60" s="114"/>
      <c r="P60" s="114"/>
      <c r="Q60" s="114"/>
      <c r="R60" s="114"/>
      <c r="S60" s="114"/>
      <c r="T60" s="114"/>
      <c r="U60" s="114"/>
      <c r="V60" s="114"/>
      <c r="W60" s="114"/>
      <c r="X60" s="114"/>
      <c r="Y60" s="114"/>
      <c r="Z60" s="114"/>
      <c r="AB60" s="76"/>
      <c r="AC60" s="76"/>
      <c r="AD60" s="76"/>
      <c r="AE60" s="76"/>
      <c r="AF60" s="76"/>
      <c r="AG60" s="76"/>
      <c r="AH60" s="76"/>
      <c r="AI60" s="76"/>
      <c r="AJ60" s="76"/>
      <c r="AK60" s="13"/>
      <c r="AL60" s="13"/>
      <c r="AM60" s="189"/>
      <c r="AN60" s="135"/>
      <c r="AO60" s="114"/>
      <c r="AP60" s="114"/>
      <c r="AQ60" s="114"/>
      <c r="AR60" s="114"/>
      <c r="AS60" s="114"/>
      <c r="AT60" s="114"/>
      <c r="AU60" s="114"/>
      <c r="AV60" s="114"/>
      <c r="AW60" s="114"/>
      <c r="AX60" s="114"/>
      <c r="AY60" s="114"/>
      <c r="AZ60" s="114"/>
      <c r="BA60" s="117"/>
      <c r="BB60" s="76"/>
      <c r="BC60" s="76"/>
      <c r="BD60" s="76"/>
      <c r="BE60" s="76"/>
      <c r="BF60" s="76"/>
      <c r="BG60" s="76"/>
      <c r="BH60" s="76"/>
      <c r="BI60" s="76"/>
      <c r="BJ60" s="76"/>
      <c r="BK60" s="76"/>
      <c r="BL60" s="76"/>
      <c r="BM60" s="76"/>
      <c r="BN60" s="76"/>
      <c r="BO60" s="76"/>
      <c r="BP60" s="76"/>
      <c r="BQ60" s="76"/>
      <c r="BR60" s="76"/>
      <c r="BS60" s="76"/>
      <c r="BT60" s="76"/>
    </row>
    <row r="61" spans="1:208" ht="12" customHeight="1">
      <c r="J61" s="13"/>
      <c r="K61" s="13"/>
      <c r="L61" s="13"/>
      <c r="M61" s="136"/>
      <c r="N61" s="114"/>
      <c r="O61" s="114"/>
      <c r="P61" s="114"/>
      <c r="Q61" s="114"/>
      <c r="R61" s="114"/>
      <c r="S61" s="114"/>
      <c r="T61" s="114"/>
      <c r="U61" s="114"/>
      <c r="V61" s="114"/>
      <c r="W61" s="114"/>
      <c r="X61" s="114"/>
      <c r="Y61" s="114"/>
      <c r="Z61" s="114"/>
      <c r="AB61" s="76"/>
      <c r="AC61" s="76"/>
      <c r="AD61" s="76"/>
      <c r="AE61" s="76"/>
      <c r="AF61" s="76"/>
      <c r="AG61" s="76"/>
      <c r="AH61" s="76"/>
      <c r="AI61" s="76"/>
      <c r="AJ61" s="76"/>
      <c r="AK61" s="13"/>
      <c r="AL61" s="13"/>
      <c r="AM61" s="189"/>
      <c r="AN61" s="135"/>
      <c r="AO61" s="114"/>
      <c r="AP61" s="114"/>
      <c r="AQ61" s="114"/>
      <c r="AR61" s="114"/>
      <c r="AS61" s="114"/>
      <c r="AT61" s="114"/>
      <c r="AU61" s="114"/>
      <c r="AV61" s="114"/>
      <c r="AW61" s="114"/>
      <c r="AX61" s="114"/>
      <c r="AY61" s="114"/>
      <c r="AZ61" s="114"/>
      <c r="BA61" s="117"/>
      <c r="BB61" s="76"/>
      <c r="BC61" s="76"/>
      <c r="BD61" s="76"/>
      <c r="BE61" s="76"/>
      <c r="BF61" s="76"/>
      <c r="BG61" s="76"/>
      <c r="BH61" s="76"/>
      <c r="BI61" s="76"/>
      <c r="BJ61" s="76"/>
      <c r="BK61" s="76"/>
      <c r="BL61" s="76"/>
      <c r="BM61" s="76"/>
      <c r="BN61" s="76"/>
      <c r="BO61" s="76"/>
      <c r="BP61" s="76"/>
      <c r="BQ61" s="76"/>
      <c r="BR61" s="76"/>
      <c r="BS61" s="76"/>
      <c r="BT61" s="76"/>
    </row>
    <row r="62" spans="1:208" ht="12" customHeight="1">
      <c r="J62" s="13"/>
      <c r="K62" s="13"/>
      <c r="L62" s="13"/>
      <c r="M62" s="136"/>
      <c r="N62" s="114"/>
      <c r="O62" s="114"/>
      <c r="P62" s="114"/>
      <c r="Q62" s="114"/>
      <c r="R62" s="114"/>
      <c r="S62" s="114"/>
      <c r="T62" s="114"/>
      <c r="U62" s="114"/>
      <c r="V62" s="114"/>
      <c r="W62" s="114"/>
      <c r="X62" s="114"/>
      <c r="Y62" s="114"/>
      <c r="Z62" s="114"/>
      <c r="AB62" s="76"/>
      <c r="AC62" s="76"/>
      <c r="AD62" s="76"/>
      <c r="AE62" s="76"/>
      <c r="AF62" s="76"/>
      <c r="AG62" s="76"/>
      <c r="AH62" s="76"/>
      <c r="AI62" s="76"/>
      <c r="AJ62" s="76"/>
      <c r="AK62" s="13"/>
      <c r="AL62" s="13"/>
      <c r="AM62" s="189"/>
      <c r="AN62" s="135"/>
      <c r="AO62" s="114"/>
      <c r="AP62" s="114"/>
      <c r="AQ62" s="114"/>
      <c r="AR62" s="114"/>
      <c r="AS62" s="114"/>
      <c r="AT62" s="114"/>
      <c r="AU62" s="114"/>
      <c r="AV62" s="114"/>
      <c r="AW62" s="114"/>
      <c r="AX62" s="114"/>
      <c r="AY62" s="114"/>
      <c r="AZ62" s="114"/>
      <c r="BA62" s="117"/>
      <c r="BB62" s="76"/>
      <c r="BC62" s="76"/>
      <c r="BD62" s="76"/>
      <c r="BE62" s="76"/>
      <c r="BF62" s="76"/>
      <c r="BG62" s="76"/>
      <c r="BH62" s="76"/>
      <c r="BI62" s="76"/>
      <c r="BJ62" s="76"/>
      <c r="BK62" s="76"/>
      <c r="BL62" s="76"/>
      <c r="BM62" s="76"/>
      <c r="BN62" s="76"/>
      <c r="BO62" s="76"/>
      <c r="BP62" s="76"/>
      <c r="BQ62" s="76"/>
      <c r="BR62" s="76"/>
      <c r="BS62" s="76"/>
      <c r="BT62" s="76"/>
    </row>
    <row r="63" spans="1:208" ht="12" customHeight="1">
      <c r="J63" s="13"/>
      <c r="K63" s="13"/>
      <c r="L63" s="13"/>
      <c r="M63" s="136"/>
      <c r="N63" s="114"/>
      <c r="O63" s="114"/>
      <c r="P63" s="114"/>
      <c r="Q63" s="114"/>
      <c r="R63" s="114"/>
      <c r="S63" s="114"/>
      <c r="T63" s="114"/>
      <c r="U63" s="114"/>
      <c r="V63" s="114"/>
      <c r="W63" s="114"/>
      <c r="X63" s="114"/>
      <c r="Y63" s="114"/>
      <c r="Z63" s="114"/>
      <c r="AB63" s="76"/>
      <c r="AC63" s="76"/>
      <c r="AD63" s="76"/>
      <c r="AE63" s="76"/>
      <c r="AF63" s="76"/>
      <c r="AG63" s="76"/>
      <c r="AH63" s="76"/>
      <c r="AI63" s="76"/>
      <c r="AJ63" s="76"/>
      <c r="AK63" s="13"/>
      <c r="AL63" s="13"/>
      <c r="AM63" s="189"/>
      <c r="AN63" s="135"/>
      <c r="AO63" s="114"/>
      <c r="AP63" s="114"/>
      <c r="AQ63" s="114"/>
      <c r="AR63" s="114"/>
      <c r="AS63" s="114"/>
      <c r="AT63" s="114"/>
      <c r="AU63" s="114"/>
      <c r="AV63" s="114"/>
      <c r="AW63" s="114"/>
      <c r="AX63" s="114"/>
      <c r="AY63" s="114"/>
      <c r="AZ63" s="114"/>
      <c r="BA63" s="117"/>
      <c r="BB63" s="76"/>
      <c r="BC63" s="76"/>
      <c r="BD63" s="76"/>
      <c r="BE63" s="76"/>
      <c r="BF63" s="76"/>
      <c r="BG63" s="76"/>
      <c r="BH63" s="76"/>
      <c r="BI63" s="76"/>
      <c r="BJ63" s="76"/>
      <c r="BK63" s="76"/>
      <c r="BL63" s="76"/>
      <c r="BM63" s="76"/>
      <c r="BN63" s="76"/>
      <c r="BO63" s="76"/>
      <c r="BP63" s="76"/>
      <c r="BQ63" s="76"/>
      <c r="BR63" s="76"/>
      <c r="BS63" s="76"/>
      <c r="BT63" s="76"/>
    </row>
    <row r="64" spans="1:208" ht="12" customHeight="1">
      <c r="J64" s="13"/>
      <c r="K64" s="13"/>
      <c r="L64" s="13"/>
      <c r="M64" s="136"/>
      <c r="N64" s="114"/>
      <c r="O64" s="114"/>
      <c r="P64" s="114"/>
      <c r="Q64" s="114"/>
      <c r="R64" s="114"/>
      <c r="S64" s="114"/>
      <c r="T64" s="114"/>
      <c r="U64" s="114"/>
      <c r="V64" s="114"/>
      <c r="W64" s="114"/>
      <c r="X64" s="114"/>
      <c r="Y64" s="114"/>
      <c r="Z64" s="114"/>
      <c r="AB64" s="76"/>
      <c r="AC64" s="76"/>
      <c r="AD64" s="76"/>
      <c r="AE64" s="76"/>
      <c r="AF64" s="76"/>
      <c r="AG64" s="76"/>
      <c r="AH64" s="76"/>
      <c r="AI64" s="76"/>
      <c r="AJ64" s="76"/>
      <c r="AK64" s="13"/>
      <c r="AL64" s="13"/>
      <c r="AM64" s="189"/>
      <c r="AN64" s="135"/>
      <c r="AO64" s="114"/>
      <c r="AP64" s="114"/>
      <c r="AQ64" s="114"/>
      <c r="AR64" s="114"/>
      <c r="AS64" s="114"/>
      <c r="AT64" s="114"/>
      <c r="AU64" s="114"/>
      <c r="AV64" s="114"/>
      <c r="AW64" s="114"/>
      <c r="AX64" s="114"/>
      <c r="AY64" s="114"/>
      <c r="AZ64" s="114"/>
      <c r="BA64" s="117"/>
      <c r="BB64" s="76"/>
      <c r="BC64" s="76"/>
      <c r="BD64" s="76"/>
      <c r="BE64" s="76"/>
      <c r="BF64" s="76"/>
      <c r="BG64" s="76"/>
      <c r="BH64" s="76"/>
      <c r="BI64" s="76"/>
      <c r="BJ64" s="76"/>
      <c r="BK64" s="76"/>
      <c r="BL64" s="76"/>
      <c r="BM64" s="76"/>
      <c r="BN64" s="76"/>
      <c r="BO64" s="76"/>
      <c r="BP64" s="76"/>
      <c r="BQ64" s="76"/>
      <c r="BR64" s="76"/>
      <c r="BS64" s="76"/>
      <c r="BT64" s="76"/>
    </row>
    <row r="65" spans="1:213" ht="12" customHeight="1">
      <c r="J65" s="13"/>
      <c r="K65" s="13"/>
      <c r="L65" s="13"/>
      <c r="M65" s="136"/>
      <c r="N65" s="114"/>
      <c r="O65" s="114"/>
      <c r="P65" s="114"/>
      <c r="Q65" s="114"/>
      <c r="R65" s="114"/>
      <c r="S65" s="114"/>
      <c r="T65" s="114"/>
      <c r="U65" s="114"/>
      <c r="V65" s="114"/>
      <c r="W65" s="114"/>
      <c r="X65" s="114"/>
      <c r="Y65" s="114"/>
      <c r="Z65" s="114"/>
      <c r="AB65" s="76"/>
      <c r="AC65" s="76"/>
      <c r="AD65" s="76"/>
      <c r="AE65" s="76"/>
      <c r="AF65" s="76"/>
      <c r="AG65" s="76"/>
      <c r="AH65" s="76"/>
      <c r="AI65" s="76"/>
      <c r="AJ65" s="76"/>
      <c r="AK65" s="13"/>
      <c r="AL65" s="13"/>
      <c r="AM65" s="189"/>
      <c r="AN65" s="135"/>
      <c r="AO65" s="114"/>
      <c r="AP65" s="114"/>
      <c r="AQ65" s="114"/>
      <c r="AR65" s="114"/>
      <c r="AS65" s="114"/>
      <c r="AT65" s="114"/>
      <c r="AU65" s="114"/>
      <c r="AV65" s="114"/>
      <c r="AW65" s="114"/>
      <c r="AX65" s="114"/>
      <c r="AY65" s="114"/>
      <c r="AZ65" s="114"/>
      <c r="BA65" s="117"/>
      <c r="BB65" s="5"/>
      <c r="BC65" s="5"/>
      <c r="BD65" s="5"/>
      <c r="BE65" s="5"/>
      <c r="BF65" s="5"/>
      <c r="BG65" s="5"/>
      <c r="BH65" s="5"/>
      <c r="BI65" s="5"/>
      <c r="BJ65" s="5"/>
      <c r="BK65" s="76"/>
      <c r="BL65" s="76"/>
      <c r="BM65" s="76"/>
      <c r="BN65" s="76"/>
      <c r="BO65" s="76"/>
      <c r="BP65" s="76"/>
      <c r="BQ65" s="76"/>
      <c r="BR65" s="76"/>
      <c r="BS65" s="76"/>
      <c r="BT65" s="76"/>
    </row>
    <row r="66" spans="1:213" ht="12" customHeight="1">
      <c r="J66" s="13"/>
      <c r="K66" s="13"/>
      <c r="L66" s="13"/>
      <c r="M66" s="136"/>
      <c r="N66" s="114"/>
      <c r="O66" s="114"/>
      <c r="P66" s="114"/>
      <c r="Q66" s="114"/>
      <c r="R66" s="114"/>
      <c r="S66" s="114"/>
      <c r="T66" s="114"/>
      <c r="U66" s="114"/>
      <c r="V66" s="114"/>
      <c r="W66" s="114"/>
      <c r="X66" s="114"/>
      <c r="Y66" s="114"/>
      <c r="Z66" s="114"/>
      <c r="AB66" s="76"/>
      <c r="AC66" s="76"/>
      <c r="AD66" s="76"/>
      <c r="AE66" s="76"/>
      <c r="AF66" s="76"/>
      <c r="AG66" s="76"/>
      <c r="AH66" s="76"/>
      <c r="AI66" s="76"/>
      <c r="AJ66" s="76"/>
      <c r="AK66" s="13"/>
      <c r="AL66" s="13"/>
      <c r="AM66" s="189"/>
      <c r="AN66" s="135"/>
      <c r="AO66" s="114"/>
      <c r="AP66" s="114"/>
      <c r="AQ66" s="114"/>
      <c r="AR66" s="114"/>
      <c r="AS66" s="114"/>
      <c r="AT66" s="114"/>
      <c r="AU66" s="114"/>
      <c r="AV66" s="114"/>
      <c r="AW66" s="114"/>
      <c r="AX66" s="114"/>
      <c r="AY66" s="114"/>
      <c r="AZ66" s="114"/>
      <c r="BA66" s="117"/>
      <c r="BB66" s="5"/>
      <c r="BC66" s="5"/>
      <c r="BD66" s="5"/>
      <c r="BE66" s="5"/>
      <c r="BF66" s="5"/>
      <c r="BG66" s="5"/>
      <c r="BH66" s="5"/>
      <c r="BI66" s="5"/>
      <c r="BJ66" s="5"/>
      <c r="BK66" s="76"/>
      <c r="BL66" s="76"/>
      <c r="BM66" s="76"/>
      <c r="BN66" s="76"/>
      <c r="BO66" s="76"/>
      <c r="BP66" s="76"/>
      <c r="BQ66" s="76"/>
      <c r="BR66" s="76"/>
      <c r="BS66" s="76"/>
      <c r="BT66" s="76"/>
    </row>
    <row r="67" spans="1:213" ht="12" customHeight="1">
      <c r="J67" s="13"/>
      <c r="K67" s="13"/>
      <c r="L67" s="13"/>
      <c r="M67" s="136"/>
      <c r="N67" s="114"/>
      <c r="O67" s="114"/>
      <c r="P67" s="114"/>
      <c r="Q67" s="114"/>
      <c r="R67" s="114"/>
      <c r="S67" s="114"/>
      <c r="T67" s="114"/>
      <c r="U67" s="114"/>
      <c r="V67" s="114"/>
      <c r="W67" s="114"/>
      <c r="X67" s="114"/>
      <c r="Y67" s="114"/>
      <c r="Z67" s="114"/>
      <c r="AB67" s="76"/>
      <c r="AC67" s="76"/>
      <c r="AD67" s="76"/>
      <c r="AE67" s="76"/>
      <c r="AF67" s="76"/>
      <c r="AG67" s="76"/>
      <c r="AH67" s="76"/>
      <c r="AI67" s="76"/>
      <c r="AJ67" s="76"/>
      <c r="AK67" s="13"/>
      <c r="AL67" s="13"/>
      <c r="AM67" s="189"/>
      <c r="AN67" s="114"/>
      <c r="AO67" s="114"/>
      <c r="AP67" s="114"/>
      <c r="AQ67" s="114"/>
      <c r="AR67" s="114"/>
      <c r="AS67" s="114"/>
      <c r="AT67" s="114"/>
      <c r="AU67" s="114"/>
      <c r="AV67" s="114"/>
      <c r="AW67" s="114"/>
      <c r="AX67" s="114"/>
      <c r="AY67" s="114"/>
      <c r="AZ67" s="114"/>
      <c r="BA67" s="117"/>
      <c r="BB67" s="5"/>
      <c r="BC67" s="5"/>
      <c r="BD67" s="5"/>
      <c r="BE67" s="5"/>
      <c r="BF67" s="5"/>
      <c r="BG67" s="5"/>
      <c r="BH67" s="5"/>
      <c r="BI67" s="5"/>
      <c r="BJ67" s="5"/>
      <c r="BK67" s="76"/>
      <c r="BL67" s="76"/>
      <c r="BM67" s="76"/>
      <c r="BN67" s="76"/>
      <c r="BO67" s="76"/>
      <c r="BP67" s="76"/>
      <c r="BQ67" s="76"/>
      <c r="BR67" s="76"/>
      <c r="BS67" s="76"/>
      <c r="BT67" s="76"/>
    </row>
    <row r="68" spans="1:213" ht="12" customHeight="1">
      <c r="J68" s="13"/>
      <c r="K68" s="13"/>
      <c r="L68" s="13"/>
      <c r="M68" s="136"/>
      <c r="N68" s="114"/>
      <c r="O68" s="114"/>
      <c r="P68" s="114"/>
      <c r="Q68" s="114"/>
      <c r="R68" s="114"/>
      <c r="S68" s="114"/>
      <c r="T68" s="114"/>
      <c r="U68" s="114"/>
      <c r="V68" s="114"/>
      <c r="W68" s="114"/>
      <c r="X68" s="114"/>
      <c r="Y68" s="114"/>
      <c r="Z68" s="114"/>
      <c r="AB68" s="76"/>
      <c r="AC68" s="76"/>
      <c r="AD68" s="76"/>
      <c r="AE68" s="76"/>
      <c r="AF68" s="76"/>
      <c r="AG68" s="76"/>
      <c r="AH68" s="76"/>
      <c r="AI68" s="76"/>
      <c r="AJ68" s="76"/>
      <c r="AK68" s="13"/>
      <c r="AL68" s="13"/>
      <c r="AM68" s="189"/>
      <c r="AN68" s="147" t="s">
        <v>0</v>
      </c>
      <c r="AO68" s="115"/>
      <c r="AP68" s="115"/>
      <c r="AQ68" s="115"/>
      <c r="AR68" s="115"/>
      <c r="AS68" s="115"/>
      <c r="AT68" s="115"/>
      <c r="AU68" s="115"/>
      <c r="AV68" s="115"/>
      <c r="AW68" s="115"/>
      <c r="AX68" s="115"/>
      <c r="AY68" s="115"/>
      <c r="AZ68" s="115"/>
      <c r="BA68" s="120"/>
      <c r="BB68" s="5"/>
      <c r="BC68" s="5"/>
      <c r="BD68" s="5"/>
      <c r="BE68" s="5"/>
      <c r="BF68" s="5"/>
      <c r="BG68" s="5"/>
      <c r="BH68" s="5"/>
      <c r="BI68" s="5"/>
      <c r="BJ68" s="5"/>
      <c r="BK68" s="76"/>
      <c r="BL68" s="76"/>
      <c r="BM68" s="76"/>
      <c r="BN68" s="76"/>
      <c r="BO68" s="76"/>
      <c r="BP68" s="76"/>
      <c r="BQ68" s="76"/>
      <c r="BR68" s="76"/>
      <c r="BS68" s="76"/>
      <c r="BT68" s="76"/>
    </row>
    <row r="69" spans="1:213" ht="12" customHeight="1" thickBot="1">
      <c r="J69" s="13"/>
      <c r="K69" s="13"/>
      <c r="L69" s="13"/>
      <c r="M69" s="136"/>
      <c r="N69" s="114"/>
      <c r="O69" s="114"/>
      <c r="P69" s="114"/>
      <c r="Q69" s="114"/>
      <c r="R69" s="114"/>
      <c r="S69" s="114"/>
      <c r="T69" s="114"/>
      <c r="U69" s="114"/>
      <c r="V69" s="114"/>
      <c r="W69" s="114"/>
      <c r="X69" s="114"/>
      <c r="Y69" s="114"/>
      <c r="Z69" s="114"/>
      <c r="AB69" s="76"/>
      <c r="AC69" s="76"/>
      <c r="AD69" s="76"/>
      <c r="AE69" s="76"/>
      <c r="AF69" s="76"/>
      <c r="AG69" s="76"/>
      <c r="AH69" s="76"/>
      <c r="AI69" s="76"/>
      <c r="AJ69" s="76"/>
      <c r="AK69" s="13"/>
      <c r="AL69" s="13"/>
      <c r="AM69" s="189"/>
      <c r="AN69" s="547" t="s">
        <v>38</v>
      </c>
      <c r="AO69" s="542"/>
      <c r="AP69" s="122" t="s">
        <v>1</v>
      </c>
      <c r="AQ69" s="122" t="s">
        <v>2</v>
      </c>
      <c r="AR69" s="542" t="s">
        <v>3</v>
      </c>
      <c r="AS69" s="542"/>
      <c r="AT69" s="542"/>
      <c r="AU69" s="542" t="s">
        <v>2</v>
      </c>
      <c r="AV69" s="542"/>
      <c r="AW69" s="542" t="s">
        <v>9</v>
      </c>
      <c r="AX69" s="542"/>
      <c r="AY69" s="542"/>
      <c r="AZ69" s="122" t="s">
        <v>11</v>
      </c>
      <c r="BA69" s="120"/>
      <c r="BB69" s="5"/>
      <c r="BC69" s="5"/>
      <c r="BD69" s="5"/>
      <c r="BE69" s="5"/>
      <c r="BF69" s="5"/>
      <c r="BG69" s="5"/>
      <c r="BH69" s="5"/>
      <c r="BI69" s="5"/>
      <c r="BJ69" s="5"/>
      <c r="BK69" s="76"/>
      <c r="BL69" s="76"/>
      <c r="BM69" s="76"/>
      <c r="BN69" s="76"/>
      <c r="BO69" s="76"/>
      <c r="BP69" s="76"/>
      <c r="BQ69" s="76"/>
      <c r="BR69" s="76"/>
      <c r="BS69" s="76"/>
      <c r="BT69" s="76"/>
    </row>
    <row r="70" spans="1:213" ht="12" customHeight="1">
      <c r="J70" s="13"/>
      <c r="K70" s="13"/>
      <c r="L70" s="13"/>
      <c r="M70" s="136"/>
      <c r="N70" s="114"/>
      <c r="O70" s="114"/>
      <c r="P70" s="114"/>
      <c r="Q70" s="114"/>
      <c r="R70" s="114"/>
      <c r="S70" s="114"/>
      <c r="T70" s="114"/>
      <c r="U70" s="114"/>
      <c r="V70" s="114"/>
      <c r="W70" s="114"/>
      <c r="X70" s="114"/>
      <c r="Y70" s="114"/>
      <c r="Z70" s="114"/>
      <c r="AB70" s="271" t="s">
        <v>65</v>
      </c>
      <c r="AC70" s="272"/>
      <c r="AD70" s="273"/>
      <c r="AE70" s="76"/>
      <c r="AF70" s="76"/>
      <c r="AG70" s="76"/>
      <c r="AH70" s="76"/>
      <c r="AI70" s="76"/>
      <c r="AJ70" s="76"/>
      <c r="AK70" s="13"/>
      <c r="AL70" s="13"/>
      <c r="AM70" s="189"/>
      <c r="AN70" s="124" t="str">
        <f t="shared" ref="AN70:AN81" si="43">AB83</f>
        <v>SMPTE</v>
      </c>
      <c r="AO70" s="124" t="s">
        <v>4</v>
      </c>
      <c r="AP70" s="124" t="s">
        <v>5</v>
      </c>
      <c r="AQ70" s="124" t="s">
        <v>6</v>
      </c>
      <c r="AR70" s="127">
        <v>0</v>
      </c>
      <c r="AS70" s="126" t="s">
        <v>79</v>
      </c>
      <c r="AT70" s="126" t="s">
        <v>80</v>
      </c>
      <c r="AU70" s="126" t="s">
        <v>79</v>
      </c>
      <c r="AV70" s="126" t="s">
        <v>80</v>
      </c>
      <c r="AW70" s="127">
        <v>0</v>
      </c>
      <c r="AX70" s="126" t="s">
        <v>79</v>
      </c>
      <c r="AY70" s="126" t="s">
        <v>80</v>
      </c>
      <c r="AZ70" s="124" t="s">
        <v>2</v>
      </c>
      <c r="BA70" s="120"/>
      <c r="BB70" s="5"/>
      <c r="BC70" s="5"/>
      <c r="BD70" s="5"/>
      <c r="BE70" s="5"/>
      <c r="BF70" s="5"/>
      <c r="BG70" s="5"/>
      <c r="BH70" s="5"/>
      <c r="BI70" s="5"/>
      <c r="BJ70" s="5"/>
      <c r="BK70" s="76"/>
      <c r="BL70" s="76"/>
      <c r="BM70" s="76"/>
      <c r="BN70" s="76"/>
      <c r="BO70" s="76"/>
      <c r="BP70" s="76"/>
      <c r="BQ70" s="76"/>
      <c r="BR70" s="76"/>
      <c r="BS70" s="76"/>
      <c r="BT70" s="76"/>
    </row>
    <row r="71" spans="1:213" ht="13.5" thickBot="1">
      <c r="J71" s="13"/>
      <c r="K71" s="13"/>
      <c r="L71" s="13"/>
      <c r="M71" s="136"/>
      <c r="N71" s="114"/>
      <c r="O71" s="114"/>
      <c r="P71" s="114"/>
      <c r="Q71" s="114"/>
      <c r="R71" s="114"/>
      <c r="S71" s="114"/>
      <c r="T71" s="114"/>
      <c r="U71" s="114"/>
      <c r="V71" s="114"/>
      <c r="W71" s="114"/>
      <c r="X71" s="114"/>
      <c r="Y71" s="114"/>
      <c r="Z71" s="114"/>
      <c r="AB71" s="269" t="s">
        <v>118</v>
      </c>
      <c r="AC71" s="257"/>
      <c r="AD71" s="270"/>
      <c r="AE71" s="36"/>
      <c r="AF71" s="36"/>
      <c r="AG71" s="36"/>
      <c r="AH71" s="36"/>
      <c r="AI71" s="36"/>
      <c r="AJ71" s="36"/>
      <c r="AK71" s="13"/>
      <c r="AL71" s="13"/>
      <c r="AM71" s="189"/>
      <c r="AN71" s="145">
        <f t="shared" si="43"/>
        <v>0</v>
      </c>
      <c r="AO71" s="115">
        <f t="shared" ref="AO71:AO81" si="44">AC84</f>
        <v>0</v>
      </c>
      <c r="AP71" s="129" t="e">
        <f>AE84</f>
        <v>#N/A</v>
      </c>
      <c r="AQ71" s="129" t="e">
        <f>iA_+iB_*LOG10(AP71)+iC_*LOG10(AP71)^2+iD_*LOG10(AP71)^3+iE_*LOG10(AP71)^4+iF_*LOG10(AP71)^5+iG_*LOG10(AP71)^6+iH_*LOG10(AP71)^7+iI_*LOG10(AP71)^8</f>
        <v>#N/A</v>
      </c>
      <c r="AR71" s="130"/>
      <c r="AS71" s="130"/>
      <c r="AT71" s="130"/>
      <c r="AU71" s="131" t="str">
        <f>IF($AD$94="","",AQ71*1.15)</f>
        <v/>
      </c>
      <c r="AV71" s="131" t="str">
        <f>IF($AD$94="","",AQ71*0.85)</f>
        <v/>
      </c>
      <c r="AW71" s="133"/>
      <c r="AX71" s="137"/>
      <c r="AY71" s="137"/>
      <c r="AZ71" s="130"/>
      <c r="BA71" s="120"/>
      <c r="BB71" s="5"/>
      <c r="BC71" s="5"/>
      <c r="BD71" s="5"/>
      <c r="BE71" s="5"/>
      <c r="BF71" s="5"/>
      <c r="BG71" s="5"/>
      <c r="BH71" s="5"/>
      <c r="BI71" s="5"/>
      <c r="BJ71" s="5"/>
      <c r="BK71" s="76"/>
      <c r="BL71" s="76"/>
      <c r="BM71" s="76"/>
      <c r="BN71" s="76"/>
      <c r="BO71" s="76"/>
      <c r="BP71" s="76"/>
      <c r="BQ71" s="76"/>
      <c r="BR71" s="76"/>
      <c r="BS71" s="76"/>
      <c r="BT71" s="76"/>
    </row>
    <row r="72" spans="1:213">
      <c r="J72" s="13"/>
      <c r="K72" s="13"/>
      <c r="L72" s="13"/>
      <c r="M72" s="136"/>
      <c r="N72" s="114"/>
      <c r="O72" s="114"/>
      <c r="P72" s="114"/>
      <c r="Q72" s="114"/>
      <c r="R72" s="114"/>
      <c r="S72" s="114"/>
      <c r="T72" s="114"/>
      <c r="U72" s="114"/>
      <c r="V72" s="114"/>
      <c r="W72" s="114"/>
      <c r="X72" s="114"/>
      <c r="Y72" s="114"/>
      <c r="Z72" s="115"/>
      <c r="AB72" s="525"/>
      <c r="AC72" s="534"/>
      <c r="AD72" s="534"/>
      <c r="AE72" s="534"/>
      <c r="AF72" s="534"/>
      <c r="AG72" s="534"/>
      <c r="AH72" s="534"/>
      <c r="AI72" s="534"/>
      <c r="AJ72" s="535"/>
      <c r="AK72" s="13"/>
      <c r="AL72" s="13"/>
      <c r="AM72" s="189"/>
      <c r="AN72" s="145">
        <f t="shared" si="43"/>
        <v>0.1</v>
      </c>
      <c r="AO72" s="115">
        <f t="shared" si="44"/>
        <v>409.5</v>
      </c>
      <c r="AP72" s="131" t="e">
        <f t="shared" ref="AP72:AP80" si="45">10^((a_+c_*LN(AQ72)+e_*LN(AQ72)^2+g_*LN(AQ72)^3+m_*LN(AQ72)^4)/(1+b_*LN(AQ72)+d_*LN(AQ72)^2+f_*LN(AQ72)^3+h_*LN(AQ72)^4+k_*LN(AQ72)^5))</f>
        <v>#N/A</v>
      </c>
      <c r="AQ72" s="131" t="e">
        <f t="shared" ref="AQ72:AQ80" si="46">$AP$84*AO72+$AP$85</f>
        <v>#N/A</v>
      </c>
      <c r="AR72" s="131" t="e">
        <f t="shared" ref="AR72:AR81" si="47">(AP72-AP71)/(0.5*(AP72+AP71))</f>
        <v>#N/A</v>
      </c>
      <c r="AS72" s="131" t="e">
        <f t="shared" ref="AS72:AS81" si="48">AR72*1.1</f>
        <v>#N/A</v>
      </c>
      <c r="AT72" s="131" t="e">
        <f t="shared" ref="AT72:AT81" si="49">AR72*0.9</f>
        <v>#N/A</v>
      </c>
      <c r="AU72" s="131" t="e">
        <f t="shared" ref="AU72:AU81" si="50">AQ72*1.1</f>
        <v>#N/A</v>
      </c>
      <c r="AV72" s="131" t="e">
        <f t="shared" ref="AV72:AV81" si="51">AQ72*0.9</f>
        <v>#N/A</v>
      </c>
      <c r="AW72" s="133" t="e">
        <f t="shared" ref="AW72:AW81" si="52">AR72/(AQ72-AQ71)</f>
        <v>#N/A</v>
      </c>
      <c r="AX72" s="133" t="e">
        <f t="shared" ref="AX72:AX81" si="53">AS72/(AQ72-AQ71)</f>
        <v>#N/A</v>
      </c>
      <c r="AY72" s="133" t="e">
        <f t="shared" ref="AY72:AY81" si="54">AT72/(AQ72-AQ71)</f>
        <v>#N/A</v>
      </c>
      <c r="AZ72" s="131" t="e">
        <f t="shared" ref="AZ72:AZ81" si="55">(AQ71+AQ72)/2</f>
        <v>#N/A</v>
      </c>
      <c r="BA72" s="120"/>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row>
    <row r="73" spans="1:213" ht="12" customHeight="1">
      <c r="J73" s="13"/>
      <c r="K73" s="13"/>
      <c r="L73" s="13"/>
      <c r="M73" s="136"/>
      <c r="N73" s="114"/>
      <c r="O73" s="114"/>
      <c r="P73" s="114"/>
      <c r="Q73" s="114"/>
      <c r="R73" s="114"/>
      <c r="S73" s="114"/>
      <c r="T73" s="114"/>
      <c r="U73" s="114"/>
      <c r="V73" s="114"/>
      <c r="W73" s="114"/>
      <c r="X73" s="114"/>
      <c r="Y73" s="114"/>
      <c r="Z73" s="115"/>
      <c r="AB73" s="536"/>
      <c r="AC73" s="537"/>
      <c r="AD73" s="537"/>
      <c r="AE73" s="537"/>
      <c r="AF73" s="537"/>
      <c r="AG73" s="537"/>
      <c r="AH73" s="537"/>
      <c r="AI73" s="537"/>
      <c r="AJ73" s="538"/>
      <c r="AK73" s="13"/>
      <c r="AL73" s="13"/>
      <c r="AM73" s="189"/>
      <c r="AN73" s="145">
        <f t="shared" si="43"/>
        <v>0.2</v>
      </c>
      <c r="AO73" s="115">
        <f t="shared" si="44"/>
        <v>819</v>
      </c>
      <c r="AP73" s="131" t="e">
        <f t="shared" si="45"/>
        <v>#N/A</v>
      </c>
      <c r="AQ73" s="131" t="e">
        <f t="shared" si="46"/>
        <v>#N/A</v>
      </c>
      <c r="AR73" s="131" t="e">
        <f t="shared" si="47"/>
        <v>#N/A</v>
      </c>
      <c r="AS73" s="131" t="e">
        <f t="shared" si="48"/>
        <v>#N/A</v>
      </c>
      <c r="AT73" s="131" t="e">
        <f t="shared" si="49"/>
        <v>#N/A</v>
      </c>
      <c r="AU73" s="131" t="e">
        <f t="shared" si="50"/>
        <v>#N/A</v>
      </c>
      <c r="AV73" s="131" t="e">
        <f t="shared" si="51"/>
        <v>#N/A</v>
      </c>
      <c r="AW73" s="133" t="e">
        <f t="shared" si="52"/>
        <v>#N/A</v>
      </c>
      <c r="AX73" s="133" t="e">
        <f t="shared" si="53"/>
        <v>#N/A</v>
      </c>
      <c r="AY73" s="133" t="e">
        <f t="shared" si="54"/>
        <v>#N/A</v>
      </c>
      <c r="AZ73" s="131" t="e">
        <f t="shared" si="55"/>
        <v>#N/A</v>
      </c>
      <c r="BA73" s="120"/>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row>
    <row r="74" spans="1:213" ht="12" customHeight="1">
      <c r="J74" s="13"/>
      <c r="K74" s="13"/>
      <c r="L74" s="13"/>
      <c r="M74" s="113"/>
      <c r="N74" s="114"/>
      <c r="O74" s="114"/>
      <c r="P74" s="114"/>
      <c r="Q74" s="114"/>
      <c r="R74" s="114"/>
      <c r="S74" s="114"/>
      <c r="T74" s="114"/>
      <c r="U74" s="114"/>
      <c r="V74" s="114"/>
      <c r="W74" s="114"/>
      <c r="X74" s="114"/>
      <c r="Y74" s="114"/>
      <c r="Z74" s="115"/>
      <c r="AB74" s="536"/>
      <c r="AC74" s="537"/>
      <c r="AD74" s="537"/>
      <c r="AE74" s="537"/>
      <c r="AF74" s="537"/>
      <c r="AG74" s="537"/>
      <c r="AH74" s="537"/>
      <c r="AI74" s="537"/>
      <c r="AJ74" s="538"/>
      <c r="AK74" s="13"/>
      <c r="AL74" s="13"/>
      <c r="AM74" s="189"/>
      <c r="AN74" s="145">
        <f t="shared" si="43"/>
        <v>0.3</v>
      </c>
      <c r="AO74" s="115">
        <f t="shared" si="44"/>
        <v>1228.5</v>
      </c>
      <c r="AP74" s="131" t="e">
        <f t="shared" si="45"/>
        <v>#N/A</v>
      </c>
      <c r="AQ74" s="131" t="e">
        <f t="shared" si="46"/>
        <v>#N/A</v>
      </c>
      <c r="AR74" s="131" t="e">
        <f t="shared" si="47"/>
        <v>#N/A</v>
      </c>
      <c r="AS74" s="131" t="e">
        <f t="shared" si="48"/>
        <v>#N/A</v>
      </c>
      <c r="AT74" s="131" t="e">
        <f t="shared" si="49"/>
        <v>#N/A</v>
      </c>
      <c r="AU74" s="131" t="e">
        <f t="shared" si="50"/>
        <v>#N/A</v>
      </c>
      <c r="AV74" s="131" t="e">
        <f t="shared" si="51"/>
        <v>#N/A</v>
      </c>
      <c r="AW74" s="133" t="e">
        <f t="shared" si="52"/>
        <v>#N/A</v>
      </c>
      <c r="AX74" s="133" t="e">
        <f t="shared" si="53"/>
        <v>#N/A</v>
      </c>
      <c r="AY74" s="133" t="e">
        <f t="shared" si="54"/>
        <v>#N/A</v>
      </c>
      <c r="AZ74" s="131" t="e">
        <f t="shared" si="55"/>
        <v>#N/A</v>
      </c>
      <c r="BA74" s="120"/>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row>
    <row r="75" spans="1:213">
      <c r="J75" s="13"/>
      <c r="K75" s="13"/>
      <c r="L75" s="13"/>
      <c r="M75" s="121" t="s">
        <v>0</v>
      </c>
      <c r="N75" s="115"/>
      <c r="O75" s="115"/>
      <c r="P75" s="115"/>
      <c r="Q75" s="115"/>
      <c r="R75" s="115"/>
      <c r="S75" s="115"/>
      <c r="T75" s="115"/>
      <c r="U75" s="115"/>
      <c r="V75" s="115"/>
      <c r="W75" s="115"/>
      <c r="X75" s="115"/>
      <c r="Y75" s="115"/>
      <c r="Z75" s="115"/>
      <c r="AB75" s="536"/>
      <c r="AC75" s="537"/>
      <c r="AD75" s="537"/>
      <c r="AE75" s="537"/>
      <c r="AF75" s="537"/>
      <c r="AG75" s="537"/>
      <c r="AH75" s="537"/>
      <c r="AI75" s="537"/>
      <c r="AJ75" s="538"/>
      <c r="AK75" s="13"/>
      <c r="AL75" s="13"/>
      <c r="AM75" s="189"/>
      <c r="AN75" s="145">
        <f t="shared" si="43"/>
        <v>0.4</v>
      </c>
      <c r="AO75" s="115">
        <f t="shared" si="44"/>
        <v>1638</v>
      </c>
      <c r="AP75" s="131" t="e">
        <f t="shared" si="45"/>
        <v>#N/A</v>
      </c>
      <c r="AQ75" s="131" t="e">
        <f t="shared" si="46"/>
        <v>#N/A</v>
      </c>
      <c r="AR75" s="131" t="e">
        <f t="shared" si="47"/>
        <v>#N/A</v>
      </c>
      <c r="AS75" s="131" t="e">
        <f t="shared" si="48"/>
        <v>#N/A</v>
      </c>
      <c r="AT75" s="131" t="e">
        <f t="shared" si="49"/>
        <v>#N/A</v>
      </c>
      <c r="AU75" s="131" t="e">
        <f t="shared" si="50"/>
        <v>#N/A</v>
      </c>
      <c r="AV75" s="131" t="e">
        <f t="shared" si="51"/>
        <v>#N/A</v>
      </c>
      <c r="AW75" s="133" t="e">
        <f t="shared" si="52"/>
        <v>#N/A</v>
      </c>
      <c r="AX75" s="133" t="e">
        <f t="shared" si="53"/>
        <v>#N/A</v>
      </c>
      <c r="AY75" s="133" t="e">
        <f t="shared" si="54"/>
        <v>#N/A</v>
      </c>
      <c r="AZ75" s="131" t="e">
        <f t="shared" si="55"/>
        <v>#N/A</v>
      </c>
      <c r="BA75" s="120"/>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row>
    <row r="76" spans="1:213" ht="12.75" thickBot="1">
      <c r="J76" s="13"/>
      <c r="K76" s="13"/>
      <c r="L76" s="13"/>
      <c r="M76" s="547" t="s">
        <v>38</v>
      </c>
      <c r="N76" s="542"/>
      <c r="O76" s="122" t="s">
        <v>1</v>
      </c>
      <c r="P76" s="122" t="s">
        <v>2</v>
      </c>
      <c r="Q76" s="542" t="s">
        <v>3</v>
      </c>
      <c r="R76" s="542"/>
      <c r="S76" s="542"/>
      <c r="T76" s="542" t="s">
        <v>2</v>
      </c>
      <c r="U76" s="542"/>
      <c r="V76" s="542" t="s">
        <v>9</v>
      </c>
      <c r="W76" s="542"/>
      <c r="X76" s="542"/>
      <c r="Y76" s="122" t="s">
        <v>11</v>
      </c>
      <c r="Z76" s="115"/>
      <c r="AB76" s="536"/>
      <c r="AC76" s="537"/>
      <c r="AD76" s="537"/>
      <c r="AE76" s="537"/>
      <c r="AF76" s="537"/>
      <c r="AG76" s="537"/>
      <c r="AH76" s="537"/>
      <c r="AI76" s="537"/>
      <c r="AJ76" s="538"/>
      <c r="AK76" s="13"/>
      <c r="AL76" s="13"/>
      <c r="AM76" s="189"/>
      <c r="AN76" s="145">
        <f t="shared" si="43"/>
        <v>0.5</v>
      </c>
      <c r="AO76" s="115">
        <f t="shared" si="44"/>
        <v>2047.5</v>
      </c>
      <c r="AP76" s="131" t="e">
        <f t="shared" si="45"/>
        <v>#N/A</v>
      </c>
      <c r="AQ76" s="131" t="e">
        <f t="shared" si="46"/>
        <v>#N/A</v>
      </c>
      <c r="AR76" s="131" t="e">
        <f>(AP76-AP75)/(0.5*(AP76+AP75))</f>
        <v>#N/A</v>
      </c>
      <c r="AS76" s="131" t="e">
        <f t="shared" si="48"/>
        <v>#N/A</v>
      </c>
      <c r="AT76" s="131" t="e">
        <f t="shared" si="49"/>
        <v>#N/A</v>
      </c>
      <c r="AU76" s="131" t="e">
        <f t="shared" si="50"/>
        <v>#N/A</v>
      </c>
      <c r="AV76" s="131" t="e">
        <f t="shared" si="51"/>
        <v>#N/A</v>
      </c>
      <c r="AW76" s="133" t="e">
        <f>AR76/(AQ76-AQ75)</f>
        <v>#N/A</v>
      </c>
      <c r="AX76" s="133" t="e">
        <f>AS76/(AQ76-AQ75)</f>
        <v>#N/A</v>
      </c>
      <c r="AY76" s="133" t="e">
        <f>AT76/(AQ76-AQ75)</f>
        <v>#N/A</v>
      </c>
      <c r="AZ76" s="131" t="e">
        <f>(AQ75+AQ76)/2</f>
        <v>#N/A</v>
      </c>
      <c r="BA76" s="120"/>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row>
    <row r="77" spans="1:213" ht="13.5" thickBot="1">
      <c r="A77" s="271" t="s">
        <v>65</v>
      </c>
      <c r="B77" s="272"/>
      <c r="C77" s="273"/>
      <c r="J77" s="13"/>
      <c r="K77" s="13"/>
      <c r="L77" s="13"/>
      <c r="M77" s="123" t="str">
        <f>A88</f>
        <v>TG18-LN</v>
      </c>
      <c r="N77" s="124" t="s">
        <v>4</v>
      </c>
      <c r="O77" s="124" t="s">
        <v>5</v>
      </c>
      <c r="P77" s="124" t="s">
        <v>6</v>
      </c>
      <c r="Q77" s="127">
        <v>0</v>
      </c>
      <c r="R77" s="126" t="str">
        <f>"+" &amp; Tol_kontrastrespons*100 &amp; "%"</f>
        <v>+15%</v>
      </c>
      <c r="S77" s="126" t="str">
        <f>"-" &amp; Tol_kontrastrespons*100 &amp; "%"</f>
        <v>-15%</v>
      </c>
      <c r="T77" s="126" t="str">
        <f>"+" &amp; Tol_kontrastrespons*100 &amp; "%"</f>
        <v>+15%</v>
      </c>
      <c r="U77" s="126" t="str">
        <f>"-" &amp; Tol_kontrastrespons*100 &amp; "%"</f>
        <v>-15%</v>
      </c>
      <c r="V77" s="127">
        <v>0</v>
      </c>
      <c r="W77" s="126" t="str">
        <f>"+" &amp; Tol_kontrastrespons*100 &amp; "%"</f>
        <v>+15%</v>
      </c>
      <c r="X77" s="126" t="str">
        <f>"-" &amp; Tol_kontrastrespons*100 &amp; "%"</f>
        <v>-15%</v>
      </c>
      <c r="Y77" s="124" t="s">
        <v>2</v>
      </c>
      <c r="Z77" s="115"/>
      <c r="AB77" s="539"/>
      <c r="AC77" s="540"/>
      <c r="AD77" s="540"/>
      <c r="AE77" s="540"/>
      <c r="AF77" s="540"/>
      <c r="AG77" s="540"/>
      <c r="AH77" s="540"/>
      <c r="AI77" s="540"/>
      <c r="AJ77" s="541"/>
      <c r="AK77" s="13"/>
      <c r="AL77" s="13"/>
      <c r="AM77" s="189"/>
      <c r="AN77" s="145">
        <f t="shared" si="43"/>
        <v>0.6</v>
      </c>
      <c r="AO77" s="115">
        <f t="shared" si="44"/>
        <v>2457</v>
      </c>
      <c r="AP77" s="131" t="e">
        <f t="shared" si="45"/>
        <v>#N/A</v>
      </c>
      <c r="AQ77" s="131" t="e">
        <f t="shared" si="46"/>
        <v>#N/A</v>
      </c>
      <c r="AR77" s="131" t="e">
        <f t="shared" si="47"/>
        <v>#N/A</v>
      </c>
      <c r="AS77" s="131" t="e">
        <f t="shared" si="48"/>
        <v>#N/A</v>
      </c>
      <c r="AT77" s="131" t="e">
        <f t="shared" si="49"/>
        <v>#N/A</v>
      </c>
      <c r="AU77" s="131" t="e">
        <f t="shared" si="50"/>
        <v>#N/A</v>
      </c>
      <c r="AV77" s="131" t="e">
        <f t="shared" si="51"/>
        <v>#N/A</v>
      </c>
      <c r="AW77" s="133" t="e">
        <f t="shared" si="52"/>
        <v>#N/A</v>
      </c>
      <c r="AX77" s="133" t="e">
        <f t="shared" si="53"/>
        <v>#N/A</v>
      </c>
      <c r="AY77" s="133" t="e">
        <f t="shared" si="54"/>
        <v>#N/A</v>
      </c>
      <c r="AZ77" s="131" t="e">
        <f t="shared" si="55"/>
        <v>#N/A</v>
      </c>
      <c r="BA77" s="120"/>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row>
    <row r="78" spans="1:213" ht="12" customHeight="1" thickBot="1">
      <c r="A78" s="269" t="s">
        <v>118</v>
      </c>
      <c r="B78" s="257"/>
      <c r="C78" s="270"/>
      <c r="D78" s="36"/>
      <c r="E78" s="36"/>
      <c r="F78" s="36"/>
      <c r="G78" s="36"/>
      <c r="H78" s="36"/>
      <c r="I78" s="36"/>
      <c r="J78" s="13"/>
      <c r="K78" s="13"/>
      <c r="L78" s="13"/>
      <c r="M78" s="128">
        <v>1</v>
      </c>
      <c r="N78" s="115">
        <f t="shared" ref="N78:N95" si="56">B89</f>
        <v>0</v>
      </c>
      <c r="O78" s="129" t="e">
        <f>D89</f>
        <v>#N/A</v>
      </c>
      <c r="P78" s="129" t="e">
        <f>iA_+iB_*LOG10(O78)+iC_*LOG10(O78)^2+iD_*LOG10(O78)^3+iE_*LOG10(O78)^4+iF_*LOG10(O78)^5+iG_*LOG10(O78)^6+iH_*LOG10(O78)^7+iI_*LOG10(O78)^8</f>
        <v>#N/A</v>
      </c>
      <c r="Q78" s="130"/>
      <c r="R78" s="130"/>
      <c r="S78" s="130"/>
      <c r="T78" s="131" t="e">
        <f t="shared" ref="T78:T95" si="57">P78*(1+Tol_kontrastrespons)</f>
        <v>#N/A</v>
      </c>
      <c r="U78" s="131" t="e">
        <f t="shared" ref="U78:U95" si="58">P78*(1-Tol_kontrastrespons)</f>
        <v>#N/A</v>
      </c>
      <c r="V78" s="133"/>
      <c r="W78" s="137"/>
      <c r="X78" s="137"/>
      <c r="Y78" s="130"/>
      <c r="Z78" s="115"/>
      <c r="AB78" s="76"/>
      <c r="AC78" s="76"/>
      <c r="AD78" s="76"/>
      <c r="AE78" s="76"/>
      <c r="AF78" s="76"/>
      <c r="AG78" s="76"/>
      <c r="AH78" s="76"/>
      <c r="AI78" s="76"/>
      <c r="AJ78" s="76"/>
      <c r="AK78" s="13"/>
      <c r="AL78" s="13"/>
      <c r="AM78" s="189"/>
      <c r="AN78" s="145">
        <f t="shared" si="43"/>
        <v>0.7</v>
      </c>
      <c r="AO78" s="115">
        <f t="shared" si="44"/>
        <v>2866.5</v>
      </c>
      <c r="AP78" s="131" t="e">
        <f t="shared" si="45"/>
        <v>#N/A</v>
      </c>
      <c r="AQ78" s="131" t="e">
        <f t="shared" si="46"/>
        <v>#N/A</v>
      </c>
      <c r="AR78" s="131" t="e">
        <f t="shared" si="47"/>
        <v>#N/A</v>
      </c>
      <c r="AS78" s="131" t="e">
        <f t="shared" si="48"/>
        <v>#N/A</v>
      </c>
      <c r="AT78" s="131" t="e">
        <f t="shared" si="49"/>
        <v>#N/A</v>
      </c>
      <c r="AU78" s="131" t="e">
        <f t="shared" si="50"/>
        <v>#N/A</v>
      </c>
      <c r="AV78" s="131" t="e">
        <f t="shared" si="51"/>
        <v>#N/A</v>
      </c>
      <c r="AW78" s="133" t="e">
        <f t="shared" si="52"/>
        <v>#N/A</v>
      </c>
      <c r="AX78" s="133" t="e">
        <f t="shared" si="53"/>
        <v>#N/A</v>
      </c>
      <c r="AY78" s="133" t="e">
        <f t="shared" si="54"/>
        <v>#N/A</v>
      </c>
      <c r="AZ78" s="131" t="e">
        <f t="shared" si="55"/>
        <v>#N/A</v>
      </c>
      <c r="BA78" s="120"/>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c r="EO78" s="5"/>
      <c r="EP78" s="5"/>
      <c r="EQ78" s="5"/>
      <c r="ER78" s="5"/>
      <c r="ES78" s="5"/>
      <c r="ET78" s="5"/>
      <c r="EU78" s="5"/>
      <c r="EV78" s="5"/>
      <c r="EW78" s="5"/>
      <c r="EX78" s="5"/>
      <c r="EY78" s="5"/>
      <c r="EZ78" s="5"/>
      <c r="FA78" s="5"/>
      <c r="FB78" s="5"/>
      <c r="FC78" s="5"/>
      <c r="FD78" s="5"/>
      <c r="FE78" s="5"/>
      <c r="FF78" s="5"/>
      <c r="FG78" s="5"/>
      <c r="FH78" s="5"/>
      <c r="FI78" s="5"/>
      <c r="FJ78" s="5"/>
      <c r="FK78" s="5"/>
      <c r="FL78" s="5"/>
      <c r="FM78" s="5"/>
      <c r="FN78" s="5"/>
      <c r="FO78" s="5"/>
      <c r="FP78" s="5"/>
      <c r="FQ78" s="5"/>
      <c r="FR78" s="5"/>
      <c r="FS78" s="5"/>
      <c r="FT78" s="5"/>
      <c r="FU78" s="5"/>
      <c r="FV78" s="5"/>
      <c r="FW78" s="5"/>
      <c r="FX78" s="5"/>
      <c r="FY78" s="5"/>
      <c r="FZ78" s="5"/>
      <c r="GA78" s="5"/>
      <c r="GB78" s="5"/>
      <c r="GC78" s="5"/>
      <c r="GD78" s="5"/>
      <c r="GE78" s="5"/>
      <c r="GF78" s="5"/>
      <c r="GG78" s="5"/>
      <c r="GH78" s="5"/>
      <c r="GI78" s="5"/>
      <c r="GJ78" s="5"/>
      <c r="GK78" s="5"/>
      <c r="GL78" s="5"/>
      <c r="GM78" s="5"/>
      <c r="GN78" s="5"/>
      <c r="GO78" s="5"/>
      <c r="GP78" s="5"/>
      <c r="GQ78" s="5"/>
      <c r="GR78" s="5"/>
      <c r="GS78" s="5"/>
      <c r="GT78" s="5"/>
      <c r="GU78" s="5"/>
      <c r="GV78" s="5"/>
      <c r="GW78" s="5"/>
      <c r="GX78" s="5"/>
      <c r="GY78" s="5"/>
      <c r="GZ78" s="5"/>
    </row>
    <row r="79" spans="1:213" ht="12" customHeight="1">
      <c r="A79" s="525"/>
      <c r="B79" s="526"/>
      <c r="C79" s="526"/>
      <c r="D79" s="526"/>
      <c r="E79" s="526"/>
      <c r="F79" s="526"/>
      <c r="G79" s="526"/>
      <c r="H79" s="526"/>
      <c r="I79" s="527"/>
      <c r="J79" s="13"/>
      <c r="K79" s="13"/>
      <c r="L79" s="13"/>
      <c r="M79" s="128">
        <f t="shared" ref="M79:M95" si="59">M78+1</f>
        <v>2</v>
      </c>
      <c r="N79" s="115">
        <f t="shared" si="56"/>
        <v>240</v>
      </c>
      <c r="O79" s="131" t="e">
        <f t="shared" ref="O79:O94" si="60">10^((a_+c_*LN(P79)+e_*LN(P79)^2+g_*LN(P79)^3+m_*LN(P79)^4)/(1+b_*LN(P79)+d_*LN(P79)^2+f_*LN(P79)^3+h_*LN(P79)^4+k_*LN(P79)^5))</f>
        <v>#N/A</v>
      </c>
      <c r="P79" s="131" t="e">
        <f t="shared" ref="P79:P94" si="61">$O$98*N79+$O$99</f>
        <v>#N/A</v>
      </c>
      <c r="Q79" s="131" t="e">
        <f>(O79-O78)/(0.5*(O79+O78))</f>
        <v>#N/A</v>
      </c>
      <c r="R79" s="131" t="e">
        <f t="shared" ref="R79:R95" si="62">Q79*(1+Tol_kontrastrespons)</f>
        <v>#N/A</v>
      </c>
      <c r="S79" s="131" t="e">
        <f t="shared" ref="S79:S95" si="63">Q79*(1-Tol_kontrastrespons)</f>
        <v>#N/A</v>
      </c>
      <c r="T79" s="131" t="e">
        <f t="shared" si="57"/>
        <v>#N/A</v>
      </c>
      <c r="U79" s="131" t="e">
        <f t="shared" si="58"/>
        <v>#N/A</v>
      </c>
      <c r="V79" s="133" t="e">
        <f>Q79/(P79-P78)</f>
        <v>#N/A</v>
      </c>
      <c r="W79" s="133" t="e">
        <f>R79/(P79-P78)</f>
        <v>#N/A</v>
      </c>
      <c r="X79" s="133" t="e">
        <f>S79/(P79-P78)</f>
        <v>#N/A</v>
      </c>
      <c r="Y79" s="131" t="e">
        <f>(P78+P79)/2</f>
        <v>#N/A</v>
      </c>
      <c r="Z79" s="115"/>
      <c r="AB79" s="13"/>
      <c r="AC79" s="13"/>
      <c r="AD79" s="76"/>
      <c r="AE79" s="76"/>
      <c r="AF79" s="76"/>
      <c r="AG79" s="76"/>
      <c r="AH79" s="76"/>
      <c r="AI79" s="76"/>
      <c r="AJ79" s="76"/>
      <c r="AK79" s="13"/>
      <c r="AL79" s="13"/>
      <c r="AM79" s="189"/>
      <c r="AN79" s="145">
        <f t="shared" si="43"/>
        <v>0.8</v>
      </c>
      <c r="AO79" s="115">
        <f t="shared" si="44"/>
        <v>3276</v>
      </c>
      <c r="AP79" s="131" t="e">
        <f t="shared" si="45"/>
        <v>#N/A</v>
      </c>
      <c r="AQ79" s="131" t="e">
        <f t="shared" si="46"/>
        <v>#N/A</v>
      </c>
      <c r="AR79" s="131" t="e">
        <f t="shared" si="47"/>
        <v>#N/A</v>
      </c>
      <c r="AS79" s="131" t="e">
        <f t="shared" si="48"/>
        <v>#N/A</v>
      </c>
      <c r="AT79" s="131" t="e">
        <f t="shared" si="49"/>
        <v>#N/A</v>
      </c>
      <c r="AU79" s="131" t="e">
        <f t="shared" si="50"/>
        <v>#N/A</v>
      </c>
      <c r="AV79" s="131" t="e">
        <f t="shared" si="51"/>
        <v>#N/A</v>
      </c>
      <c r="AW79" s="133" t="e">
        <f t="shared" si="52"/>
        <v>#N/A</v>
      </c>
      <c r="AX79" s="133" t="e">
        <f t="shared" si="53"/>
        <v>#N/A</v>
      </c>
      <c r="AY79" s="133" t="e">
        <f t="shared" si="54"/>
        <v>#N/A</v>
      </c>
      <c r="AZ79" s="131" t="e">
        <f t="shared" si="55"/>
        <v>#N/A</v>
      </c>
      <c r="BA79" s="120"/>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c r="EO79" s="5"/>
      <c r="EP79" s="5"/>
      <c r="EQ79" s="5"/>
      <c r="ER79" s="5"/>
      <c r="ES79" s="5"/>
      <c r="ET79" s="5"/>
      <c r="EU79" s="5"/>
      <c r="EV79" s="5"/>
      <c r="EW79" s="5"/>
      <c r="EX79" s="5"/>
      <c r="EY79" s="5"/>
      <c r="EZ79" s="5"/>
      <c r="FA79" s="5"/>
      <c r="FB79" s="5"/>
      <c r="FC79" s="5"/>
      <c r="FD79" s="5"/>
      <c r="FE79" s="5"/>
      <c r="FF79" s="5"/>
      <c r="FG79" s="5"/>
      <c r="FH79" s="5"/>
      <c r="FI79" s="5"/>
      <c r="FJ79" s="5"/>
      <c r="FK79" s="5"/>
      <c r="FL79" s="5"/>
      <c r="FM79" s="5"/>
      <c r="FN79" s="5"/>
      <c r="FO79" s="5"/>
      <c r="FP79" s="5"/>
      <c r="FQ79" s="5"/>
      <c r="FR79" s="5"/>
      <c r="FS79" s="5"/>
      <c r="FT79" s="5"/>
      <c r="FU79" s="5"/>
      <c r="FV79" s="5"/>
      <c r="FW79" s="5"/>
      <c r="FX79" s="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row>
    <row r="80" spans="1:213" ht="12" customHeight="1">
      <c r="A80" s="528"/>
      <c r="B80" s="529"/>
      <c r="C80" s="529"/>
      <c r="D80" s="529"/>
      <c r="E80" s="529"/>
      <c r="F80" s="529"/>
      <c r="G80" s="529"/>
      <c r="H80" s="529"/>
      <c r="I80" s="530"/>
      <c r="J80" s="13"/>
      <c r="K80" s="13"/>
      <c r="L80" s="13"/>
      <c r="M80" s="128">
        <f t="shared" si="59"/>
        <v>3</v>
      </c>
      <c r="N80" s="115">
        <f t="shared" si="56"/>
        <v>480</v>
      </c>
      <c r="O80" s="131" t="e">
        <f t="shared" si="60"/>
        <v>#N/A</v>
      </c>
      <c r="P80" s="131" t="e">
        <f t="shared" si="61"/>
        <v>#N/A</v>
      </c>
      <c r="Q80" s="131" t="e">
        <f t="shared" ref="Q80:Q95" si="64">(O80-O79)/(0.5*(O80+O79))</f>
        <v>#N/A</v>
      </c>
      <c r="R80" s="131" t="e">
        <f t="shared" si="62"/>
        <v>#N/A</v>
      </c>
      <c r="S80" s="131" t="e">
        <f t="shared" si="63"/>
        <v>#N/A</v>
      </c>
      <c r="T80" s="131" t="e">
        <f t="shared" si="57"/>
        <v>#N/A</v>
      </c>
      <c r="U80" s="131" t="e">
        <f t="shared" si="58"/>
        <v>#N/A</v>
      </c>
      <c r="V80" s="133" t="e">
        <f t="shared" ref="V80:V95" si="65">Q80/(P80-P79)</f>
        <v>#N/A</v>
      </c>
      <c r="W80" s="133" t="e">
        <f t="shared" ref="W80:W95" si="66">R80/(P80-P79)</f>
        <v>#N/A</v>
      </c>
      <c r="X80" s="133" t="e">
        <f t="shared" ref="X80:X95" si="67">S80/(P80-P79)</f>
        <v>#N/A</v>
      </c>
      <c r="Y80" s="131" t="e">
        <f t="shared" ref="Y80:Y95" si="68">(P79+P80)/2</f>
        <v>#N/A</v>
      </c>
      <c r="Z80" s="115"/>
      <c r="AB80" s="1"/>
      <c r="AC80" s="76"/>
      <c r="AD80" s="191"/>
      <c r="AE80" s="194"/>
      <c r="AF80" s="193" t="s">
        <v>176</v>
      </c>
      <c r="AG80" s="78">
        <f>'5.1 Betragtningsforhold'!$H$20</f>
        <v>0</v>
      </c>
      <c r="AH80" s="76"/>
      <c r="AI80" s="76"/>
      <c r="AJ80" s="76"/>
      <c r="AK80" s="76"/>
      <c r="AN80" s="145">
        <f t="shared" si="43"/>
        <v>0.9</v>
      </c>
      <c r="AO80" s="115">
        <f t="shared" si="44"/>
        <v>3685.5</v>
      </c>
      <c r="AP80" s="131" t="e">
        <f t="shared" si="45"/>
        <v>#N/A</v>
      </c>
      <c r="AQ80" s="131" t="e">
        <f t="shared" si="46"/>
        <v>#N/A</v>
      </c>
      <c r="AR80" s="131" t="e">
        <f t="shared" si="47"/>
        <v>#N/A</v>
      </c>
      <c r="AS80" s="131" t="e">
        <f t="shared" si="48"/>
        <v>#N/A</v>
      </c>
      <c r="AT80" s="131" t="e">
        <f t="shared" si="49"/>
        <v>#N/A</v>
      </c>
      <c r="AU80" s="131" t="e">
        <f t="shared" si="50"/>
        <v>#N/A</v>
      </c>
      <c r="AV80" s="131" t="e">
        <f t="shared" si="51"/>
        <v>#N/A</v>
      </c>
      <c r="AW80" s="133" t="e">
        <f t="shared" si="52"/>
        <v>#N/A</v>
      </c>
      <c r="AX80" s="133" t="e">
        <f t="shared" si="53"/>
        <v>#N/A</v>
      </c>
      <c r="AY80" s="133" t="e">
        <f t="shared" si="54"/>
        <v>#N/A</v>
      </c>
      <c r="AZ80" s="131" t="e">
        <f t="shared" si="55"/>
        <v>#N/A</v>
      </c>
      <c r="BA80" s="120"/>
      <c r="BB80" s="76"/>
      <c r="BC80" s="76"/>
      <c r="BD80" s="76"/>
      <c r="BE80" s="76"/>
      <c r="BF80" s="76"/>
      <c r="BG80" s="76"/>
      <c r="BH80" s="76"/>
      <c r="BI80" s="76"/>
      <c r="BJ80" s="76"/>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5"/>
      <c r="GA80" s="5"/>
      <c r="GB80" s="5"/>
      <c r="GC80" s="5"/>
      <c r="GD80" s="5"/>
      <c r="GE80" s="5"/>
      <c r="GF80" s="5"/>
      <c r="GG80" s="5"/>
      <c r="GH80" s="5"/>
      <c r="GI80" s="5"/>
      <c r="GJ80" s="5"/>
      <c r="GK80" s="5"/>
      <c r="GL80" s="5"/>
      <c r="GM80" s="5"/>
      <c r="GN80" s="5"/>
      <c r="GO80" s="5"/>
      <c r="GP80" s="5"/>
      <c r="GQ80" s="5"/>
      <c r="GR80" s="5"/>
      <c r="GS80" s="5"/>
      <c r="GT80" s="5"/>
      <c r="GU80" s="5"/>
      <c r="GV80" s="5"/>
      <c r="GW80" s="5"/>
      <c r="GX80" s="5"/>
      <c r="GY80" s="5"/>
      <c r="GZ80" s="5"/>
    </row>
    <row r="81" spans="1:208" ht="12" customHeight="1">
      <c r="A81" s="528"/>
      <c r="B81" s="529"/>
      <c r="C81" s="529"/>
      <c r="D81" s="529"/>
      <c r="E81" s="529"/>
      <c r="F81" s="529"/>
      <c r="G81" s="529"/>
      <c r="H81" s="529"/>
      <c r="I81" s="530"/>
      <c r="J81" s="13"/>
      <c r="K81" s="13"/>
      <c r="L81" s="13"/>
      <c r="M81" s="128">
        <f t="shared" si="59"/>
        <v>4</v>
      </c>
      <c r="N81" s="115">
        <f t="shared" si="56"/>
        <v>720</v>
      </c>
      <c r="O81" s="131" t="e">
        <f t="shared" si="60"/>
        <v>#N/A</v>
      </c>
      <c r="P81" s="131" t="e">
        <f t="shared" si="61"/>
        <v>#N/A</v>
      </c>
      <c r="Q81" s="131" t="e">
        <f t="shared" si="64"/>
        <v>#N/A</v>
      </c>
      <c r="R81" s="131" t="e">
        <f t="shared" si="62"/>
        <v>#N/A</v>
      </c>
      <c r="S81" s="131" t="e">
        <f t="shared" si="63"/>
        <v>#N/A</v>
      </c>
      <c r="T81" s="131" t="e">
        <f t="shared" si="57"/>
        <v>#N/A</v>
      </c>
      <c r="U81" s="131" t="e">
        <f t="shared" si="58"/>
        <v>#N/A</v>
      </c>
      <c r="V81" s="133" t="e">
        <f t="shared" si="65"/>
        <v>#N/A</v>
      </c>
      <c r="W81" s="133" t="e">
        <f t="shared" si="66"/>
        <v>#N/A</v>
      </c>
      <c r="X81" s="133" t="e">
        <f t="shared" si="67"/>
        <v>#N/A</v>
      </c>
      <c r="Y81" s="131" t="e">
        <f t="shared" si="68"/>
        <v>#N/A</v>
      </c>
      <c r="Z81" s="115"/>
      <c r="AB81" s="76"/>
      <c r="AC81" s="195"/>
      <c r="AD81" s="196"/>
      <c r="AE81" s="197"/>
      <c r="AF81" s="198" t="s">
        <v>177</v>
      </c>
      <c r="AG81" s="79">
        <f>IF(AG80="","",Reflektionskoefficient*AG80)</f>
        <v>0</v>
      </c>
      <c r="AH81" s="4"/>
      <c r="AI81" s="76"/>
      <c r="AJ81" s="76"/>
      <c r="AK81" s="76"/>
      <c r="AN81" s="145">
        <f t="shared" si="43"/>
        <v>1</v>
      </c>
      <c r="AO81" s="115">
        <f t="shared" si="44"/>
        <v>4095</v>
      </c>
      <c r="AP81" s="129" t="e">
        <f>AE94</f>
        <v>#N/A</v>
      </c>
      <c r="AQ81" s="129" t="e">
        <f>iA_+iB_*LOG10(AP81)+iC_*LOG10(AP81)^2+iD_*LOG10(AP81)^3+iE_*LOG10(AP81)^4+iF_*LOG10(AP81)^5+iG_*LOG10(AP81)^6+iH_*LOG10(AP81)^7+iI_*LOG10(AP81)^8</f>
        <v>#N/A</v>
      </c>
      <c r="AR81" s="131" t="e">
        <f t="shared" si="47"/>
        <v>#N/A</v>
      </c>
      <c r="AS81" s="131" t="e">
        <f t="shared" si="48"/>
        <v>#N/A</v>
      </c>
      <c r="AT81" s="131" t="e">
        <f t="shared" si="49"/>
        <v>#N/A</v>
      </c>
      <c r="AU81" s="131" t="e">
        <f t="shared" si="50"/>
        <v>#N/A</v>
      </c>
      <c r="AV81" s="131" t="e">
        <f t="shared" si="51"/>
        <v>#N/A</v>
      </c>
      <c r="AW81" s="133" t="e">
        <f t="shared" si="52"/>
        <v>#N/A</v>
      </c>
      <c r="AX81" s="133" t="e">
        <f t="shared" si="53"/>
        <v>#N/A</v>
      </c>
      <c r="AY81" s="133" t="e">
        <f t="shared" si="54"/>
        <v>#N/A</v>
      </c>
      <c r="AZ81" s="131" t="e">
        <f t="shared" si="55"/>
        <v>#N/A</v>
      </c>
      <c r="BA81" s="120"/>
      <c r="BB81" s="76"/>
      <c r="BC81" s="76"/>
      <c r="BD81" s="76"/>
      <c r="BE81" s="76"/>
      <c r="BF81" s="76"/>
      <c r="BG81" s="76"/>
      <c r="BH81" s="76"/>
      <c r="BI81" s="76"/>
      <c r="BJ81" s="76"/>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row>
    <row r="82" spans="1:208" ht="12" customHeight="1">
      <c r="A82" s="528"/>
      <c r="B82" s="529"/>
      <c r="C82" s="529"/>
      <c r="D82" s="529"/>
      <c r="E82" s="529"/>
      <c r="F82" s="529"/>
      <c r="G82" s="529"/>
      <c r="H82" s="529"/>
      <c r="I82" s="530"/>
      <c r="J82" s="13"/>
      <c r="K82" s="13"/>
      <c r="L82" s="13"/>
      <c r="M82" s="128">
        <f t="shared" si="59"/>
        <v>5</v>
      </c>
      <c r="N82" s="115">
        <f t="shared" si="56"/>
        <v>960</v>
      </c>
      <c r="O82" s="131" t="e">
        <f t="shared" si="60"/>
        <v>#N/A</v>
      </c>
      <c r="P82" s="131" t="e">
        <f t="shared" si="61"/>
        <v>#N/A</v>
      </c>
      <c r="Q82" s="131" t="e">
        <f t="shared" si="64"/>
        <v>#N/A</v>
      </c>
      <c r="R82" s="131" t="e">
        <f t="shared" si="62"/>
        <v>#N/A</v>
      </c>
      <c r="S82" s="131" t="e">
        <f t="shared" si="63"/>
        <v>#N/A</v>
      </c>
      <c r="T82" s="131" t="e">
        <f t="shared" si="57"/>
        <v>#N/A</v>
      </c>
      <c r="U82" s="131" t="e">
        <f t="shared" si="58"/>
        <v>#N/A</v>
      </c>
      <c r="V82" s="133" t="e">
        <f t="shared" si="65"/>
        <v>#N/A</v>
      </c>
      <c r="W82" s="133" t="e">
        <f t="shared" si="66"/>
        <v>#N/A</v>
      </c>
      <c r="X82" s="133" t="e">
        <f t="shared" si="67"/>
        <v>#N/A</v>
      </c>
      <c r="Y82" s="131" t="e">
        <f t="shared" si="68"/>
        <v>#N/A</v>
      </c>
      <c r="Z82" s="115"/>
      <c r="AB82" s="543" t="s">
        <v>125</v>
      </c>
      <c r="AC82" s="544"/>
      <c r="AD82" s="545" t="s">
        <v>201</v>
      </c>
      <c r="AE82" s="546"/>
      <c r="AF82" s="170" t="s">
        <v>2</v>
      </c>
      <c r="AG82" s="171" t="s">
        <v>3</v>
      </c>
      <c r="AH82" s="172" t="s">
        <v>39</v>
      </c>
      <c r="AI82" s="173" t="s">
        <v>168</v>
      </c>
      <c r="AJ82" s="171" t="s">
        <v>169</v>
      </c>
      <c r="AK82" s="76"/>
      <c r="AN82" s="115"/>
      <c r="AO82" s="115"/>
      <c r="AP82" s="129"/>
      <c r="AQ82" s="133"/>
      <c r="AR82" s="133"/>
      <c r="AS82" s="133"/>
      <c r="AT82" s="133"/>
      <c r="AU82" s="133"/>
      <c r="AV82" s="133"/>
      <c r="AW82" s="133"/>
      <c r="AX82" s="133"/>
      <c r="AY82" s="133"/>
      <c r="AZ82" s="115"/>
      <c r="BA82" s="120"/>
      <c r="BB82" s="76"/>
      <c r="BC82" s="76"/>
      <c r="BD82" s="76"/>
      <c r="BE82" s="76"/>
      <c r="BF82" s="76"/>
      <c r="BG82" s="76"/>
      <c r="BH82" s="76"/>
      <c r="BI82" s="76"/>
      <c r="BJ82" s="76"/>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c r="DI82" s="5"/>
      <c r="DJ82" s="5"/>
      <c r="DK82" s="5"/>
      <c r="DL82" s="5"/>
      <c r="DM82" s="5"/>
      <c r="DN82" s="5"/>
      <c r="DO82" s="5"/>
      <c r="DP82" s="5"/>
      <c r="DQ82" s="5"/>
      <c r="DR82" s="5"/>
      <c r="DS82" s="5"/>
      <c r="DT82" s="5"/>
      <c r="DU82" s="5"/>
      <c r="DV82" s="5"/>
      <c r="DW82" s="5"/>
      <c r="DX82" s="5"/>
      <c r="DY82" s="5"/>
      <c r="DZ82" s="5"/>
      <c r="EA82" s="5"/>
      <c r="EB82" s="5"/>
      <c r="EC82" s="5"/>
      <c r="ED82" s="5"/>
      <c r="EE82" s="5"/>
      <c r="EF82" s="5"/>
      <c r="EG82" s="5"/>
      <c r="EH82" s="5"/>
      <c r="EI82" s="5"/>
      <c r="EJ82" s="5"/>
      <c r="EK82" s="5"/>
      <c r="EL82" s="5"/>
      <c r="EM82" s="5"/>
      <c r="EN82" s="5"/>
      <c r="EO82" s="5"/>
      <c r="EP82" s="5"/>
      <c r="EQ82" s="5"/>
      <c r="ER82" s="5"/>
      <c r="ES82" s="5"/>
      <c r="ET82" s="5"/>
      <c r="EU82" s="5"/>
      <c r="EV82" s="5"/>
      <c r="EW82" s="5"/>
      <c r="EX82" s="5"/>
      <c r="EY82" s="5"/>
      <c r="EZ82" s="5"/>
      <c r="FA82" s="5"/>
      <c r="FB82" s="5"/>
      <c r="FC82" s="5"/>
      <c r="FD82" s="5"/>
      <c r="FE82" s="5"/>
      <c r="FF82" s="5"/>
      <c r="FG82" s="5"/>
      <c r="FH82" s="5"/>
      <c r="FI82" s="5"/>
      <c r="FJ82" s="5"/>
      <c r="FK82" s="5"/>
      <c r="FL82" s="5"/>
      <c r="FM82" s="5"/>
      <c r="FN82" s="5"/>
      <c r="FO82" s="5"/>
      <c r="FP82" s="5"/>
      <c r="FQ82" s="5"/>
      <c r="FR82" s="5"/>
      <c r="FS82" s="5"/>
      <c r="FT82" s="5"/>
      <c r="FU82" s="5"/>
      <c r="FV82" s="5"/>
      <c r="FW82" s="5"/>
      <c r="FX82" s="5"/>
      <c r="FY82" s="5"/>
      <c r="FZ82" s="5"/>
      <c r="GA82" s="5"/>
      <c r="GB82" s="5"/>
      <c r="GC82" s="5"/>
      <c r="GD82" s="5"/>
      <c r="GE82" s="5"/>
      <c r="GF82" s="5"/>
      <c r="GG82" s="5"/>
      <c r="GH82" s="5"/>
      <c r="GI82" s="5"/>
      <c r="GJ82" s="5"/>
      <c r="GK82" s="5"/>
      <c r="GL82" s="5"/>
      <c r="GM82" s="5"/>
      <c r="GN82" s="5"/>
      <c r="GO82" s="5"/>
      <c r="GP82" s="5"/>
      <c r="GQ82" s="5"/>
      <c r="GR82" s="5"/>
      <c r="GS82" s="5"/>
      <c r="GT82" s="5"/>
      <c r="GU82" s="5"/>
      <c r="GV82" s="5"/>
      <c r="GW82" s="5"/>
      <c r="GX82" s="5"/>
      <c r="GY82" s="5"/>
      <c r="GZ82" s="5"/>
    </row>
    <row r="83" spans="1:208" ht="12.75" customHeight="1">
      <c r="A83" s="528"/>
      <c r="B83" s="529"/>
      <c r="C83" s="529"/>
      <c r="D83" s="529"/>
      <c r="E83" s="529"/>
      <c r="F83" s="529"/>
      <c r="G83" s="529"/>
      <c r="H83" s="529"/>
      <c r="I83" s="530"/>
      <c r="J83" s="13"/>
      <c r="K83" s="13"/>
      <c r="L83" s="13"/>
      <c r="M83" s="128">
        <f t="shared" si="59"/>
        <v>6</v>
      </c>
      <c r="N83" s="115">
        <f t="shared" si="56"/>
        <v>1200</v>
      </c>
      <c r="O83" s="131" t="e">
        <f t="shared" si="60"/>
        <v>#N/A</v>
      </c>
      <c r="P83" s="131" t="e">
        <f t="shared" si="61"/>
        <v>#N/A</v>
      </c>
      <c r="Q83" s="131" t="e">
        <f t="shared" si="64"/>
        <v>#N/A</v>
      </c>
      <c r="R83" s="131" t="e">
        <f t="shared" si="62"/>
        <v>#N/A</v>
      </c>
      <c r="S83" s="131" t="e">
        <f t="shared" si="63"/>
        <v>#N/A</v>
      </c>
      <c r="T83" s="131" t="e">
        <f t="shared" si="57"/>
        <v>#N/A</v>
      </c>
      <c r="U83" s="131" t="e">
        <f t="shared" si="58"/>
        <v>#N/A</v>
      </c>
      <c r="V83" s="133" t="e">
        <f t="shared" si="65"/>
        <v>#N/A</v>
      </c>
      <c r="W83" s="133" t="e">
        <f t="shared" si="66"/>
        <v>#N/A</v>
      </c>
      <c r="X83" s="133" t="e">
        <f t="shared" si="67"/>
        <v>#N/A</v>
      </c>
      <c r="Y83" s="131" t="e">
        <f t="shared" si="68"/>
        <v>#N/A</v>
      </c>
      <c r="Z83" s="115"/>
      <c r="AB83" s="173" t="str">
        <f t="shared" ref="AB83:AB94" si="69">AB35</f>
        <v>SMPTE</v>
      </c>
      <c r="AC83" s="171" t="s">
        <v>165</v>
      </c>
      <c r="AD83" s="174" t="s">
        <v>167</v>
      </c>
      <c r="AE83" s="174" t="s">
        <v>166</v>
      </c>
      <c r="AF83" s="175" t="s">
        <v>6</v>
      </c>
      <c r="AG83" s="176"/>
      <c r="AH83" s="177" t="s">
        <v>2</v>
      </c>
      <c r="AI83" s="178" t="s">
        <v>2</v>
      </c>
      <c r="AJ83" s="175" t="s">
        <v>40</v>
      </c>
      <c r="AK83" s="76"/>
      <c r="AN83" s="114"/>
      <c r="AO83" s="114"/>
      <c r="AP83" s="134" t="s">
        <v>10</v>
      </c>
      <c r="AQ83" s="114"/>
      <c r="AR83" s="134"/>
      <c r="AS83" s="135"/>
      <c r="AT83" s="114"/>
      <c r="AU83" s="114"/>
      <c r="AV83" s="114"/>
      <c r="AW83" s="114"/>
      <c r="AX83" s="114"/>
      <c r="AY83" s="114"/>
      <c r="AZ83" s="114"/>
      <c r="BA83" s="117"/>
      <c r="BB83" s="76"/>
      <c r="BC83" s="76"/>
      <c r="BD83" s="76"/>
      <c r="BE83" s="76"/>
      <c r="BF83" s="76"/>
      <c r="BG83" s="76"/>
      <c r="BH83" s="76"/>
      <c r="BI83" s="76"/>
      <c r="BJ83" s="76"/>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c r="EO83" s="5"/>
      <c r="EP83" s="5"/>
      <c r="EQ83" s="5"/>
      <c r="ER83" s="5"/>
      <c r="ES83" s="5"/>
      <c r="ET83" s="5"/>
      <c r="EU83" s="5"/>
      <c r="EV83" s="5"/>
      <c r="EW83" s="5"/>
      <c r="EX83" s="5"/>
      <c r="EY83" s="5"/>
      <c r="EZ83" s="5"/>
      <c r="FA83" s="5"/>
      <c r="FB83" s="5"/>
      <c r="FC83" s="5"/>
      <c r="FD83" s="5"/>
      <c r="FE83" s="5"/>
      <c r="FF83" s="5"/>
      <c r="FG83" s="5"/>
      <c r="FH83" s="5"/>
      <c r="FI83" s="5"/>
      <c r="FJ83" s="5"/>
      <c r="FK83" s="5"/>
      <c r="FL83" s="5"/>
      <c r="FM83" s="5"/>
      <c r="FN83" s="5"/>
      <c r="FO83" s="5"/>
      <c r="FP83" s="5"/>
      <c r="FQ83" s="5"/>
      <c r="FR83" s="5"/>
      <c r="FS83" s="5"/>
      <c r="FT83" s="5"/>
      <c r="FU83" s="5"/>
      <c r="FV83" s="5"/>
      <c r="FW83" s="5"/>
      <c r="FX83" s="5"/>
      <c r="FY83" s="5"/>
      <c r="FZ83" s="5"/>
      <c r="GA83" s="5"/>
      <c r="GB83" s="5"/>
      <c r="GC83" s="5"/>
      <c r="GD83" s="5"/>
      <c r="GE83" s="5"/>
      <c r="GF83" s="5"/>
      <c r="GG83" s="5"/>
      <c r="GH83" s="5"/>
      <c r="GI83" s="5"/>
      <c r="GJ83" s="5"/>
      <c r="GK83" s="5"/>
      <c r="GL83" s="5"/>
      <c r="GM83" s="5"/>
      <c r="GN83" s="5"/>
      <c r="GO83" s="5"/>
      <c r="GP83" s="5"/>
      <c r="GQ83" s="5"/>
      <c r="GR83" s="5"/>
      <c r="GS83" s="5"/>
      <c r="GT83" s="5"/>
      <c r="GU83" s="5"/>
      <c r="GV83" s="5"/>
      <c r="GW83" s="5"/>
      <c r="GX83" s="5"/>
      <c r="GY83" s="5"/>
      <c r="GZ83" s="5"/>
    </row>
    <row r="84" spans="1:208" ht="12.75" customHeight="1" thickBot="1">
      <c r="A84" s="531"/>
      <c r="B84" s="532"/>
      <c r="C84" s="532"/>
      <c r="D84" s="532"/>
      <c r="E84" s="532"/>
      <c r="F84" s="532"/>
      <c r="G84" s="532"/>
      <c r="H84" s="532"/>
      <c r="I84" s="533"/>
      <c r="J84" s="13"/>
      <c r="K84" s="13"/>
      <c r="L84" s="13"/>
      <c r="M84" s="128">
        <f t="shared" si="59"/>
        <v>7</v>
      </c>
      <c r="N84" s="115">
        <f t="shared" si="56"/>
        <v>1440</v>
      </c>
      <c r="O84" s="131" t="e">
        <f t="shared" si="60"/>
        <v>#N/A</v>
      </c>
      <c r="P84" s="131" t="e">
        <f t="shared" si="61"/>
        <v>#N/A</v>
      </c>
      <c r="Q84" s="131" t="e">
        <f t="shared" si="64"/>
        <v>#N/A</v>
      </c>
      <c r="R84" s="131" t="e">
        <f t="shared" si="62"/>
        <v>#N/A</v>
      </c>
      <c r="S84" s="131" t="e">
        <f t="shared" si="63"/>
        <v>#N/A</v>
      </c>
      <c r="T84" s="131" t="e">
        <f t="shared" si="57"/>
        <v>#N/A</v>
      </c>
      <c r="U84" s="131" t="e">
        <f t="shared" si="58"/>
        <v>#N/A</v>
      </c>
      <c r="V84" s="133" t="e">
        <f t="shared" si="65"/>
        <v>#N/A</v>
      </c>
      <c r="W84" s="133" t="e">
        <f t="shared" si="66"/>
        <v>#N/A</v>
      </c>
      <c r="X84" s="133" t="e">
        <f t="shared" si="67"/>
        <v>#N/A</v>
      </c>
      <c r="Y84" s="131" t="e">
        <f t="shared" si="68"/>
        <v>#N/A</v>
      </c>
      <c r="Z84" s="115"/>
      <c r="AB84" s="155">
        <f t="shared" si="69"/>
        <v>0</v>
      </c>
      <c r="AC84" s="167">
        <f t="shared" ref="AC84:AC94" si="70">AC36</f>
        <v>0</v>
      </c>
      <c r="AD84" s="349"/>
      <c r="AE84" s="349" t="e">
        <f t="shared" ref="AE84:AE94" si="71">IF(AD84="",NA(),AD84+Ambient_R)</f>
        <v>#N/A</v>
      </c>
      <c r="AF84" s="87" t="e">
        <f t="shared" ref="AF84:AF94" si="72">AQ71</f>
        <v>#N/A</v>
      </c>
      <c r="AG84" s="88"/>
      <c r="AH84" s="89"/>
      <c r="AI84" s="90"/>
      <c r="AJ84" s="91"/>
      <c r="AK84" s="76"/>
      <c r="AN84" s="114"/>
      <c r="AO84" s="119" t="s">
        <v>7</v>
      </c>
      <c r="AP84" s="134" t="e">
        <f>(AQ81-AQ71)/AO81</f>
        <v>#N/A</v>
      </c>
      <c r="AQ84" s="134"/>
      <c r="AR84" s="114"/>
      <c r="AS84" s="134"/>
      <c r="AT84" s="135"/>
      <c r="AU84" s="114"/>
      <c r="AV84" s="114"/>
      <c r="AW84" s="114"/>
      <c r="AX84" s="114"/>
      <c r="AY84" s="114"/>
      <c r="AZ84" s="114"/>
      <c r="BA84" s="117"/>
      <c r="BB84" s="76"/>
      <c r="BC84" s="76"/>
      <c r="BD84" s="76"/>
      <c r="BE84" s="76"/>
      <c r="BF84" s="76"/>
      <c r="BG84" s="76"/>
      <c r="BH84" s="76"/>
      <c r="BI84" s="76"/>
      <c r="BJ84" s="76"/>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c r="EI84" s="5"/>
      <c r="EJ84" s="5"/>
      <c r="EK84" s="5"/>
      <c r="EL84" s="5"/>
      <c r="EM84" s="5"/>
      <c r="EN84" s="5"/>
      <c r="EO84" s="5"/>
      <c r="EP84" s="5"/>
      <c r="EQ84" s="5"/>
      <c r="ER84" s="5"/>
      <c r="ES84" s="5"/>
      <c r="ET84" s="5"/>
      <c r="EU84" s="5"/>
      <c r="EV84" s="5"/>
      <c r="EW84" s="5"/>
      <c r="EX84" s="5"/>
      <c r="EY84" s="5"/>
      <c r="EZ84" s="5"/>
      <c r="FA84" s="5"/>
      <c r="FB84" s="5"/>
      <c r="FC84" s="5"/>
      <c r="FD84" s="5"/>
      <c r="FE84" s="5"/>
      <c r="FF84" s="5"/>
      <c r="FG84" s="5"/>
      <c r="FH84" s="5"/>
      <c r="FI84" s="5"/>
      <c r="FJ84" s="5"/>
      <c r="FK84" s="5"/>
      <c r="FL84" s="5"/>
      <c r="FM84" s="5"/>
      <c r="FN84" s="5"/>
      <c r="FO84" s="5"/>
      <c r="FP84" s="5"/>
      <c r="FQ84" s="5"/>
      <c r="FR84" s="5"/>
      <c r="FS84" s="5"/>
      <c r="FT84" s="5"/>
      <c r="FU84" s="5"/>
      <c r="FV84" s="5"/>
      <c r="FW84" s="5"/>
      <c r="FX84" s="5"/>
      <c r="FY84" s="5"/>
      <c r="FZ84" s="5"/>
      <c r="GA84" s="5"/>
      <c r="GB84" s="5"/>
      <c r="GC84" s="5"/>
      <c r="GD84" s="5"/>
      <c r="GE84" s="5"/>
      <c r="GF84" s="5"/>
      <c r="GG84" s="5"/>
      <c r="GH84" s="5"/>
      <c r="GI84" s="5"/>
      <c r="GJ84" s="5"/>
      <c r="GK84" s="5"/>
      <c r="GL84" s="5"/>
      <c r="GM84" s="5"/>
      <c r="GN84" s="5"/>
      <c r="GO84" s="5"/>
      <c r="GP84" s="5"/>
      <c r="GQ84" s="5"/>
      <c r="GR84" s="5"/>
      <c r="GS84" s="5"/>
      <c r="GT84" s="5"/>
      <c r="GU84" s="5"/>
      <c r="GV84" s="5"/>
      <c r="GW84" s="5"/>
      <c r="GX84" s="5"/>
      <c r="GY84" s="5"/>
      <c r="GZ84" s="5"/>
    </row>
    <row r="85" spans="1:208" ht="12.75" customHeight="1">
      <c r="A85" s="1"/>
      <c r="B85" s="76"/>
      <c r="C85" s="191"/>
      <c r="D85" s="194"/>
      <c r="E85" s="193" t="s">
        <v>176</v>
      </c>
      <c r="F85" s="78">
        <f>'5.1 Betragtningsforhold'!$H$20</f>
        <v>0</v>
      </c>
      <c r="M85" s="128">
        <f t="shared" si="59"/>
        <v>8</v>
      </c>
      <c r="N85" s="115">
        <f t="shared" si="56"/>
        <v>1680</v>
      </c>
      <c r="O85" s="131" t="e">
        <f t="shared" si="60"/>
        <v>#N/A</v>
      </c>
      <c r="P85" s="131" t="e">
        <f t="shared" si="61"/>
        <v>#N/A</v>
      </c>
      <c r="Q85" s="131" t="e">
        <f t="shared" si="64"/>
        <v>#N/A</v>
      </c>
      <c r="R85" s="131" t="e">
        <f t="shared" si="62"/>
        <v>#N/A</v>
      </c>
      <c r="S85" s="131" t="e">
        <f t="shared" si="63"/>
        <v>#N/A</v>
      </c>
      <c r="T85" s="131" t="e">
        <f t="shared" si="57"/>
        <v>#N/A</v>
      </c>
      <c r="U85" s="131" t="e">
        <f t="shared" si="58"/>
        <v>#N/A</v>
      </c>
      <c r="V85" s="133" t="e">
        <f t="shared" si="65"/>
        <v>#N/A</v>
      </c>
      <c r="W85" s="133" t="e">
        <f t="shared" si="66"/>
        <v>#N/A</v>
      </c>
      <c r="X85" s="133" t="e">
        <f t="shared" si="67"/>
        <v>#N/A</v>
      </c>
      <c r="Y85" s="131" t="e">
        <f t="shared" si="68"/>
        <v>#N/A</v>
      </c>
      <c r="Z85" s="115"/>
      <c r="AB85" s="157">
        <f t="shared" si="69"/>
        <v>0.1</v>
      </c>
      <c r="AC85" s="168">
        <f t="shared" si="70"/>
        <v>409.5</v>
      </c>
      <c r="AD85" s="348"/>
      <c r="AE85" s="349" t="e">
        <f t="shared" si="71"/>
        <v>#N/A</v>
      </c>
      <c r="AF85" s="92" t="e">
        <f t="shared" si="72"/>
        <v>#N/A</v>
      </c>
      <c r="AG85" s="93" t="e">
        <f t="shared" ref="AG85:AG94" si="73">(AE85-AE84)/(0.5*(AE85+AE84))</f>
        <v>#N/A</v>
      </c>
      <c r="AH85" s="94" t="e">
        <f t="shared" ref="AH85:AH94" si="74">AG85/(AF85-AF84)</f>
        <v>#N/A</v>
      </c>
      <c r="AI85" s="95" t="e">
        <f t="shared" ref="AI85:AI94" si="75">(AF85+AF84)/2</f>
        <v>#N/A</v>
      </c>
      <c r="AJ85" s="96" t="e">
        <f t="shared" ref="AJ85:AJ94" si="76">ABS(AW72-AH85)/AW72</f>
        <v>#N/A</v>
      </c>
      <c r="AK85" s="76"/>
      <c r="AN85" s="114"/>
      <c r="AO85" s="119" t="s">
        <v>8</v>
      </c>
      <c r="AP85" s="133" t="e">
        <f>AQ71</f>
        <v>#N/A</v>
      </c>
      <c r="AQ85" s="114"/>
      <c r="AR85" s="114"/>
      <c r="AS85" s="134"/>
      <c r="AT85" s="135"/>
      <c r="AU85" s="114"/>
      <c r="AV85" s="114"/>
      <c r="AW85" s="114"/>
      <c r="AX85" s="114"/>
      <c r="AY85" s="114"/>
      <c r="AZ85" s="114"/>
      <c r="BA85" s="117"/>
      <c r="BB85" s="76"/>
      <c r="BC85" s="76"/>
      <c r="BD85" s="76"/>
      <c r="BE85" s="76"/>
      <c r="BF85" s="76"/>
      <c r="BG85" s="76"/>
      <c r="BH85" s="76"/>
      <c r="BI85" s="76"/>
      <c r="BJ85" s="76"/>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c r="DI85" s="5"/>
      <c r="DJ85" s="5"/>
      <c r="DK85" s="5"/>
      <c r="DL85" s="5"/>
      <c r="DM85" s="5"/>
      <c r="DN85" s="5"/>
      <c r="DO85" s="5"/>
      <c r="DP85" s="5"/>
      <c r="DQ85" s="5"/>
      <c r="DR85" s="5"/>
      <c r="DS85" s="5"/>
      <c r="DT85" s="5"/>
      <c r="DU85" s="5"/>
      <c r="DV85" s="5"/>
      <c r="DW85" s="5"/>
      <c r="DX85" s="5"/>
      <c r="DY85" s="5"/>
      <c r="DZ85" s="5"/>
      <c r="EA85" s="5"/>
      <c r="EB85" s="5"/>
      <c r="EC85" s="5"/>
      <c r="ED85" s="5"/>
      <c r="EE85" s="5"/>
      <c r="EF85" s="5"/>
      <c r="EG85" s="5"/>
      <c r="EH85" s="5"/>
      <c r="EI85" s="5"/>
      <c r="EJ85" s="5"/>
      <c r="EK85" s="5"/>
      <c r="EL85" s="5"/>
      <c r="EM85" s="5"/>
      <c r="EN85" s="5"/>
      <c r="EO85" s="5"/>
      <c r="EP85" s="5"/>
      <c r="EQ85" s="5"/>
      <c r="ER85" s="5"/>
      <c r="ES85" s="5"/>
      <c r="ET85" s="5"/>
      <c r="EU85" s="5"/>
      <c r="EV85" s="5"/>
      <c r="EW85" s="5"/>
      <c r="EX85" s="5"/>
      <c r="EY85" s="5"/>
      <c r="EZ85" s="5"/>
      <c r="FA85" s="5"/>
      <c r="FB85" s="5"/>
      <c r="FC85" s="5"/>
      <c r="FD85" s="5"/>
      <c r="FE85" s="5"/>
      <c r="FF85" s="5"/>
      <c r="FG85" s="5"/>
      <c r="FH85" s="5"/>
      <c r="FI85" s="5"/>
      <c r="FJ85" s="5"/>
      <c r="FK85" s="5"/>
      <c r="FL85" s="5"/>
      <c r="FM85" s="5"/>
      <c r="FN85" s="5"/>
      <c r="FO85" s="5"/>
      <c r="FP85" s="5"/>
      <c r="FQ85" s="5"/>
      <c r="FR85" s="5"/>
      <c r="FS85" s="5"/>
      <c r="FT85" s="5"/>
      <c r="FU85" s="5"/>
      <c r="FV85" s="5"/>
      <c r="FW85" s="5"/>
      <c r="FX85" s="5"/>
      <c r="FY85" s="5"/>
      <c r="FZ85" s="5"/>
      <c r="GA85" s="5"/>
      <c r="GB85" s="5"/>
      <c r="GC85" s="5"/>
      <c r="GD85" s="5"/>
      <c r="GE85" s="5"/>
      <c r="GF85" s="5"/>
      <c r="GG85" s="5"/>
      <c r="GH85" s="5"/>
      <c r="GI85" s="5"/>
      <c r="GJ85" s="5"/>
      <c r="GK85" s="5"/>
      <c r="GL85" s="5"/>
      <c r="GM85" s="5"/>
      <c r="GN85" s="5"/>
      <c r="GO85" s="5"/>
      <c r="GP85" s="5"/>
      <c r="GQ85" s="5"/>
      <c r="GR85" s="5"/>
      <c r="GS85" s="5"/>
      <c r="GT85" s="5"/>
      <c r="GU85" s="5"/>
      <c r="GV85" s="5"/>
      <c r="GW85" s="5"/>
      <c r="GX85" s="5"/>
      <c r="GY85" s="5"/>
      <c r="GZ85" s="5"/>
    </row>
    <row r="86" spans="1:208" ht="14.25" thickBot="1">
      <c r="A86" s="76"/>
      <c r="B86" s="195"/>
      <c r="C86" s="196"/>
      <c r="D86" s="197"/>
      <c r="E86" s="198" t="s">
        <v>177</v>
      </c>
      <c r="F86" s="79">
        <f>IF(F85="","",Reflektionskoefficient*F85)</f>
        <v>0</v>
      </c>
      <c r="G86" s="4"/>
      <c r="M86" s="128">
        <f t="shared" si="59"/>
        <v>9</v>
      </c>
      <c r="N86" s="115">
        <f t="shared" si="56"/>
        <v>1920</v>
      </c>
      <c r="O86" s="131" t="e">
        <f t="shared" si="60"/>
        <v>#N/A</v>
      </c>
      <c r="P86" s="131" t="e">
        <f t="shared" si="61"/>
        <v>#N/A</v>
      </c>
      <c r="Q86" s="131" t="e">
        <f t="shared" si="64"/>
        <v>#N/A</v>
      </c>
      <c r="R86" s="131" t="e">
        <f t="shared" si="62"/>
        <v>#N/A</v>
      </c>
      <c r="S86" s="131" t="e">
        <f t="shared" si="63"/>
        <v>#N/A</v>
      </c>
      <c r="T86" s="131" t="e">
        <f t="shared" si="57"/>
        <v>#N/A</v>
      </c>
      <c r="U86" s="131" t="e">
        <f t="shared" si="58"/>
        <v>#N/A</v>
      </c>
      <c r="V86" s="133" t="e">
        <f t="shared" si="65"/>
        <v>#N/A</v>
      </c>
      <c r="W86" s="133" t="e">
        <f t="shared" si="66"/>
        <v>#N/A</v>
      </c>
      <c r="X86" s="133" t="e">
        <f t="shared" si="67"/>
        <v>#N/A</v>
      </c>
      <c r="Y86" s="131" t="e">
        <f t="shared" si="68"/>
        <v>#N/A</v>
      </c>
      <c r="Z86" s="115"/>
      <c r="AB86" s="157">
        <f t="shared" si="69"/>
        <v>0.2</v>
      </c>
      <c r="AC86" s="168">
        <f t="shared" si="70"/>
        <v>819</v>
      </c>
      <c r="AD86" s="348"/>
      <c r="AE86" s="349" t="e">
        <f t="shared" si="71"/>
        <v>#N/A</v>
      </c>
      <c r="AF86" s="92" t="e">
        <f t="shared" si="72"/>
        <v>#N/A</v>
      </c>
      <c r="AG86" s="93" t="e">
        <f t="shared" si="73"/>
        <v>#N/A</v>
      </c>
      <c r="AH86" s="94" t="e">
        <f t="shared" si="74"/>
        <v>#N/A</v>
      </c>
      <c r="AI86" s="95" t="e">
        <f t="shared" si="75"/>
        <v>#N/A</v>
      </c>
      <c r="AJ86" s="96" t="e">
        <f t="shared" si="76"/>
        <v>#N/A</v>
      </c>
      <c r="AK86" s="76"/>
      <c r="AN86" s="141"/>
      <c r="AO86" s="141"/>
      <c r="AP86" s="141"/>
      <c r="AQ86" s="142"/>
      <c r="AR86" s="141"/>
      <c r="AS86" s="142"/>
      <c r="AT86" s="143"/>
      <c r="AU86" s="141"/>
      <c r="AV86" s="141"/>
      <c r="AW86" s="141"/>
      <c r="AX86" s="141"/>
      <c r="AY86" s="141"/>
      <c r="AZ86" s="141"/>
      <c r="BA86" s="144"/>
      <c r="BB86" s="76"/>
      <c r="BC86" s="76"/>
      <c r="BD86" s="76"/>
      <c r="BE86" s="76"/>
      <c r="BF86" s="76"/>
      <c r="BG86" s="76"/>
      <c r="BH86" s="76"/>
      <c r="BI86" s="76"/>
      <c r="BJ86" s="76"/>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c r="DI86" s="5"/>
      <c r="DJ86" s="5"/>
      <c r="DK86" s="5"/>
      <c r="DL86" s="5"/>
      <c r="DM86" s="5"/>
      <c r="DN86" s="5"/>
      <c r="DO86" s="5"/>
      <c r="DP86" s="5"/>
      <c r="DQ86" s="5"/>
      <c r="DR86" s="5"/>
      <c r="DS86" s="5"/>
      <c r="DT86" s="5"/>
      <c r="DU86" s="5"/>
      <c r="DV86" s="5"/>
      <c r="DW86" s="5"/>
      <c r="DX86" s="5"/>
      <c r="DY86" s="5"/>
      <c r="DZ86" s="5"/>
      <c r="EA86" s="5"/>
      <c r="EB86" s="5"/>
      <c r="EC86" s="5"/>
      <c r="ED86" s="5"/>
      <c r="EE86" s="5"/>
      <c r="EF86" s="5"/>
      <c r="EG86" s="5"/>
      <c r="EH86" s="5"/>
      <c r="EI86" s="5"/>
      <c r="EJ86" s="5"/>
      <c r="EK86" s="5"/>
      <c r="EL86" s="5"/>
      <c r="EM86" s="5"/>
      <c r="EN86" s="5"/>
      <c r="EO86" s="5"/>
      <c r="EP86" s="5"/>
      <c r="EQ86" s="5"/>
      <c r="ER86" s="5"/>
      <c r="ES86" s="5"/>
      <c r="ET86" s="5"/>
      <c r="EU86" s="5"/>
      <c r="EV86" s="5"/>
      <c r="EW86" s="5"/>
      <c r="EX86" s="5"/>
      <c r="EY86" s="5"/>
      <c r="EZ86" s="5"/>
      <c r="FA86" s="5"/>
      <c r="FB86" s="5"/>
      <c r="FC86" s="5"/>
      <c r="FD86" s="5"/>
      <c r="FE86" s="5"/>
      <c r="FF86" s="5"/>
      <c r="FG86" s="5"/>
      <c r="FH86" s="5"/>
      <c r="FI86" s="5"/>
      <c r="FJ86" s="5"/>
      <c r="FK86" s="5"/>
      <c r="FL86" s="5"/>
      <c r="FM86" s="5"/>
      <c r="FN86" s="5"/>
      <c r="FO86" s="5"/>
      <c r="FP86" s="5"/>
      <c r="FQ86" s="5"/>
      <c r="FR86" s="5"/>
      <c r="FS86" s="5"/>
      <c r="FT86" s="5"/>
      <c r="FU86" s="5"/>
      <c r="FV86" s="5"/>
      <c r="FW86" s="5"/>
      <c r="FX86" s="5"/>
      <c r="FY86" s="5"/>
      <c r="FZ86" s="5"/>
      <c r="GA86" s="5"/>
      <c r="GB86" s="5"/>
      <c r="GC86" s="5"/>
      <c r="GD86" s="5"/>
      <c r="GE86" s="5"/>
      <c r="GF86" s="5"/>
      <c r="GG86" s="5"/>
      <c r="GH86" s="5"/>
      <c r="GI86" s="5"/>
      <c r="GJ86" s="5"/>
      <c r="GK86" s="5"/>
      <c r="GL86" s="5"/>
      <c r="GM86" s="5"/>
      <c r="GN86" s="5"/>
      <c r="GO86" s="5"/>
      <c r="GP86" s="5"/>
      <c r="GQ86" s="5"/>
      <c r="GR86" s="5"/>
      <c r="GS86" s="5"/>
      <c r="GT86" s="5"/>
      <c r="GU86" s="5"/>
      <c r="GV86" s="5"/>
      <c r="GW86" s="5"/>
      <c r="GX86" s="5"/>
      <c r="GY86" s="5"/>
      <c r="GZ86" s="5"/>
    </row>
    <row r="87" spans="1:208" ht="13.5">
      <c r="A87" s="543" t="s">
        <v>125</v>
      </c>
      <c r="B87" s="544"/>
      <c r="C87" s="545" t="s">
        <v>201</v>
      </c>
      <c r="D87" s="546"/>
      <c r="E87" s="170" t="s">
        <v>2</v>
      </c>
      <c r="F87" s="171" t="s">
        <v>3</v>
      </c>
      <c r="G87" s="172" t="s">
        <v>39</v>
      </c>
      <c r="H87" s="173" t="s">
        <v>168</v>
      </c>
      <c r="I87" s="171" t="s">
        <v>169</v>
      </c>
      <c r="M87" s="128">
        <f t="shared" si="59"/>
        <v>10</v>
      </c>
      <c r="N87" s="115">
        <f t="shared" si="56"/>
        <v>2160</v>
      </c>
      <c r="O87" s="131" t="e">
        <f t="shared" si="60"/>
        <v>#N/A</v>
      </c>
      <c r="P87" s="131" t="e">
        <f t="shared" si="61"/>
        <v>#N/A</v>
      </c>
      <c r="Q87" s="131" t="e">
        <f t="shared" si="64"/>
        <v>#N/A</v>
      </c>
      <c r="R87" s="131" t="e">
        <f t="shared" si="62"/>
        <v>#N/A</v>
      </c>
      <c r="S87" s="131" t="e">
        <f t="shared" si="63"/>
        <v>#N/A</v>
      </c>
      <c r="T87" s="131" t="e">
        <f t="shared" si="57"/>
        <v>#N/A</v>
      </c>
      <c r="U87" s="131" t="e">
        <f t="shared" si="58"/>
        <v>#N/A</v>
      </c>
      <c r="V87" s="133" t="e">
        <f t="shared" si="65"/>
        <v>#N/A</v>
      </c>
      <c r="W87" s="133" t="e">
        <f t="shared" si="66"/>
        <v>#N/A</v>
      </c>
      <c r="X87" s="133" t="e">
        <f t="shared" si="67"/>
        <v>#N/A</v>
      </c>
      <c r="Y87" s="131" t="e">
        <f t="shared" si="68"/>
        <v>#N/A</v>
      </c>
      <c r="Z87" s="115"/>
      <c r="AB87" s="157">
        <f t="shared" si="69"/>
        <v>0.3</v>
      </c>
      <c r="AC87" s="168">
        <f t="shared" si="70"/>
        <v>1228.5</v>
      </c>
      <c r="AD87" s="348"/>
      <c r="AE87" s="349" t="e">
        <f t="shared" si="71"/>
        <v>#N/A</v>
      </c>
      <c r="AF87" s="92" t="e">
        <f t="shared" si="72"/>
        <v>#N/A</v>
      </c>
      <c r="AG87" s="93" t="e">
        <f t="shared" si="73"/>
        <v>#N/A</v>
      </c>
      <c r="AH87" s="94" t="e">
        <f t="shared" si="74"/>
        <v>#N/A</v>
      </c>
      <c r="AI87" s="95" t="e">
        <f t="shared" si="75"/>
        <v>#N/A</v>
      </c>
      <c r="AJ87" s="96" t="e">
        <f t="shared" si="76"/>
        <v>#N/A</v>
      </c>
      <c r="AK87" s="76"/>
      <c r="AN87" s="76"/>
      <c r="AO87" s="76"/>
      <c r="AP87" s="76"/>
      <c r="AQ87" s="76"/>
      <c r="AR87" s="76"/>
      <c r="AS87" s="76"/>
      <c r="AT87" s="76"/>
      <c r="AU87" s="76"/>
      <c r="AV87" s="76"/>
      <c r="AW87" s="76"/>
      <c r="AX87" s="76"/>
      <c r="AY87" s="76"/>
      <c r="AZ87" s="76"/>
      <c r="BA87" s="76"/>
      <c r="BB87" s="76"/>
      <c r="BC87" s="76"/>
      <c r="BD87" s="76"/>
      <c r="BE87" s="76"/>
      <c r="BF87" s="76"/>
      <c r="BG87" s="76"/>
      <c r="BH87" s="76"/>
      <c r="BI87" s="76"/>
      <c r="BJ87" s="76"/>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c r="DI87" s="5"/>
      <c r="DJ87" s="5"/>
      <c r="DK87" s="5"/>
      <c r="DL87" s="5"/>
      <c r="DM87" s="5"/>
      <c r="DN87" s="5"/>
      <c r="DO87" s="5"/>
      <c r="DP87" s="5"/>
      <c r="DQ87" s="5"/>
      <c r="DR87" s="5"/>
      <c r="DS87" s="5"/>
      <c r="DT87" s="5"/>
      <c r="DU87" s="5"/>
      <c r="DV87" s="5"/>
      <c r="DW87" s="5"/>
      <c r="DX87" s="5"/>
      <c r="DY87" s="5"/>
      <c r="DZ87" s="5"/>
      <c r="EA87" s="5"/>
      <c r="EB87" s="5"/>
      <c r="EC87" s="5"/>
      <c r="ED87" s="5"/>
      <c r="EE87" s="5"/>
      <c r="EF87" s="5"/>
      <c r="EG87" s="5"/>
      <c r="EH87" s="5"/>
      <c r="EI87" s="5"/>
      <c r="EJ87" s="5"/>
      <c r="EK87" s="5"/>
      <c r="EL87" s="5"/>
      <c r="EM87" s="5"/>
      <c r="EN87" s="5"/>
      <c r="EO87" s="5"/>
      <c r="EP87" s="5"/>
      <c r="EQ87" s="5"/>
      <c r="ER87" s="5"/>
      <c r="ES87" s="5"/>
      <c r="ET87" s="5"/>
      <c r="EU87" s="5"/>
      <c r="EV87" s="5"/>
      <c r="EW87" s="5"/>
      <c r="EX87" s="5"/>
      <c r="EY87" s="5"/>
      <c r="EZ87" s="5"/>
      <c r="FA87" s="5"/>
      <c r="FB87" s="5"/>
      <c r="FC87" s="5"/>
      <c r="FD87" s="5"/>
      <c r="FE87" s="5"/>
      <c r="FF87" s="5"/>
      <c r="FG87" s="5"/>
      <c r="FH87" s="5"/>
      <c r="FI87" s="5"/>
      <c r="FJ87" s="5"/>
      <c r="FK87" s="5"/>
      <c r="FL87" s="5"/>
      <c r="FM87" s="5"/>
      <c r="FN87" s="5"/>
      <c r="FO87" s="5"/>
      <c r="FP87" s="5"/>
      <c r="FQ87" s="5"/>
      <c r="FR87" s="5"/>
      <c r="FS87" s="5"/>
      <c r="FT87" s="5"/>
      <c r="FU87" s="5"/>
      <c r="FV87" s="5"/>
      <c r="FW87" s="5"/>
      <c r="FX87" s="5"/>
      <c r="FY87" s="5"/>
      <c r="FZ87" s="5"/>
      <c r="GA87" s="5"/>
      <c r="GB87" s="5"/>
      <c r="GC87" s="5"/>
      <c r="GD87" s="5"/>
      <c r="GE87" s="5"/>
      <c r="GF87" s="5"/>
      <c r="GG87" s="5"/>
      <c r="GH87" s="5"/>
      <c r="GI87" s="5"/>
      <c r="GJ87" s="5"/>
      <c r="GK87" s="5"/>
      <c r="GL87" s="5"/>
      <c r="GM87" s="5"/>
      <c r="GN87" s="5"/>
      <c r="GO87" s="5"/>
      <c r="GP87" s="5"/>
      <c r="GQ87" s="5"/>
      <c r="GR87" s="5"/>
      <c r="GS87" s="5"/>
      <c r="GT87" s="5"/>
      <c r="GU87" s="5"/>
      <c r="GV87" s="5"/>
      <c r="GW87" s="5"/>
      <c r="GX87" s="5"/>
      <c r="GY87" s="5"/>
      <c r="GZ87" s="5"/>
    </row>
    <row r="88" spans="1:208">
      <c r="A88" s="174" t="str">
        <f>A35</f>
        <v>TG18-LN</v>
      </c>
      <c r="B88" s="171" t="s">
        <v>165</v>
      </c>
      <c r="C88" s="174" t="s">
        <v>167</v>
      </c>
      <c r="D88" s="174" t="s">
        <v>166</v>
      </c>
      <c r="E88" s="175" t="s">
        <v>6</v>
      </c>
      <c r="F88" s="176"/>
      <c r="G88" s="177" t="s">
        <v>2</v>
      </c>
      <c r="H88" s="178" t="s">
        <v>2</v>
      </c>
      <c r="I88" s="175" t="s">
        <v>40</v>
      </c>
      <c r="M88" s="128">
        <f t="shared" si="59"/>
        <v>11</v>
      </c>
      <c r="N88" s="115">
        <f t="shared" si="56"/>
        <v>2400</v>
      </c>
      <c r="O88" s="131" t="e">
        <f t="shared" si="60"/>
        <v>#N/A</v>
      </c>
      <c r="P88" s="131" t="e">
        <f t="shared" si="61"/>
        <v>#N/A</v>
      </c>
      <c r="Q88" s="131" t="e">
        <f t="shared" si="64"/>
        <v>#N/A</v>
      </c>
      <c r="R88" s="131" t="e">
        <f t="shared" si="62"/>
        <v>#N/A</v>
      </c>
      <c r="S88" s="131" t="e">
        <f t="shared" si="63"/>
        <v>#N/A</v>
      </c>
      <c r="T88" s="131" t="e">
        <f t="shared" si="57"/>
        <v>#N/A</v>
      </c>
      <c r="U88" s="131" t="e">
        <f t="shared" si="58"/>
        <v>#N/A</v>
      </c>
      <c r="V88" s="133" t="e">
        <f t="shared" si="65"/>
        <v>#N/A</v>
      </c>
      <c r="W88" s="133" t="e">
        <f t="shared" si="66"/>
        <v>#N/A</v>
      </c>
      <c r="X88" s="133" t="e">
        <f t="shared" si="67"/>
        <v>#N/A</v>
      </c>
      <c r="Y88" s="131" t="e">
        <f t="shared" si="68"/>
        <v>#N/A</v>
      </c>
      <c r="Z88" s="115"/>
      <c r="AB88" s="157">
        <f t="shared" si="69"/>
        <v>0.4</v>
      </c>
      <c r="AC88" s="168">
        <f t="shared" si="70"/>
        <v>1638</v>
      </c>
      <c r="AD88" s="348"/>
      <c r="AE88" s="349" t="e">
        <f t="shared" si="71"/>
        <v>#N/A</v>
      </c>
      <c r="AF88" s="92" t="e">
        <f t="shared" si="72"/>
        <v>#N/A</v>
      </c>
      <c r="AG88" s="93" t="e">
        <f t="shared" si="73"/>
        <v>#N/A</v>
      </c>
      <c r="AH88" s="94" t="e">
        <f t="shared" si="74"/>
        <v>#N/A</v>
      </c>
      <c r="AI88" s="95" t="e">
        <f t="shared" si="75"/>
        <v>#N/A</v>
      </c>
      <c r="AJ88" s="96" t="e">
        <f t="shared" si="76"/>
        <v>#N/A</v>
      </c>
      <c r="AK88" s="76"/>
      <c r="AN88" s="76"/>
      <c r="AO88" s="76"/>
      <c r="AP88" s="76"/>
      <c r="AQ88" s="76"/>
      <c r="AR88" s="76"/>
      <c r="AS88" s="76"/>
      <c r="AT88" s="76"/>
      <c r="AU88" s="76"/>
      <c r="AV88" s="76"/>
      <c r="AW88" s="76"/>
      <c r="AX88" s="76"/>
      <c r="AY88" s="76"/>
      <c r="AZ88" s="76"/>
      <c r="BA88" s="76"/>
      <c r="BB88" s="76"/>
      <c r="BC88" s="76"/>
      <c r="BD88" s="76"/>
      <c r="BE88" s="76"/>
      <c r="BF88" s="76"/>
      <c r="BG88" s="76"/>
      <c r="BH88" s="76"/>
      <c r="BI88" s="76"/>
      <c r="BJ88" s="76"/>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c r="DI88" s="5"/>
      <c r="DJ88" s="5"/>
      <c r="DK88" s="5"/>
      <c r="DL88" s="5"/>
      <c r="DM88" s="5"/>
      <c r="DN88" s="5"/>
      <c r="DO88" s="5"/>
      <c r="DP88" s="5"/>
      <c r="DQ88" s="5"/>
      <c r="DR88" s="5"/>
      <c r="DS88" s="5"/>
      <c r="DT88" s="5"/>
      <c r="DU88" s="5"/>
      <c r="DV88" s="5"/>
      <c r="DW88" s="5"/>
      <c r="DX88" s="5"/>
      <c r="DY88" s="5"/>
      <c r="DZ88" s="5"/>
      <c r="EA88" s="5"/>
      <c r="EB88" s="5"/>
      <c r="EC88" s="5"/>
      <c r="ED88" s="5"/>
      <c r="EE88" s="5"/>
      <c r="EF88" s="5"/>
      <c r="EG88" s="5"/>
      <c r="EH88" s="5"/>
      <c r="EI88" s="5"/>
      <c r="EJ88" s="5"/>
      <c r="EK88" s="5"/>
      <c r="EL88" s="5"/>
      <c r="EM88" s="5"/>
      <c r="EN88" s="5"/>
      <c r="EO88" s="5"/>
      <c r="EP88" s="5"/>
      <c r="EQ88" s="5"/>
      <c r="ER88" s="5"/>
      <c r="ES88" s="5"/>
      <c r="ET88" s="5"/>
      <c r="EU88" s="5"/>
      <c r="EV88" s="5"/>
      <c r="EW88" s="5"/>
      <c r="EX88" s="5"/>
      <c r="EY88" s="5"/>
      <c r="EZ88" s="5"/>
      <c r="FA88" s="5"/>
      <c r="FB88" s="5"/>
      <c r="FC88" s="5"/>
      <c r="FD88" s="5"/>
      <c r="FE88" s="5"/>
      <c r="FF88" s="5"/>
      <c r="FG88" s="5"/>
      <c r="FH88" s="5"/>
      <c r="FI88" s="5"/>
      <c r="FJ88" s="5"/>
      <c r="FK88" s="5"/>
      <c r="FL88" s="5"/>
      <c r="FM88" s="5"/>
      <c r="FN88" s="5"/>
      <c r="FO88" s="5"/>
      <c r="FP88" s="5"/>
      <c r="FQ88" s="5"/>
      <c r="FR88" s="5"/>
      <c r="FS88" s="5"/>
      <c r="FT88" s="5"/>
      <c r="FU88" s="5"/>
      <c r="FV88" s="5"/>
      <c r="FW88" s="5"/>
      <c r="FX88" s="5"/>
      <c r="FY88" s="5"/>
      <c r="FZ88" s="5"/>
      <c r="GA88" s="5"/>
      <c r="GB88" s="5"/>
      <c r="GC88" s="5"/>
      <c r="GD88" s="5"/>
      <c r="GE88" s="5"/>
      <c r="GF88" s="5"/>
      <c r="GG88" s="5"/>
      <c r="GH88" s="5"/>
      <c r="GI88" s="5"/>
      <c r="GJ88" s="5"/>
      <c r="GK88" s="5"/>
      <c r="GL88" s="5"/>
      <c r="GM88" s="5"/>
      <c r="GN88" s="5"/>
      <c r="GO88" s="5"/>
      <c r="GP88" s="5"/>
      <c r="GQ88" s="5"/>
      <c r="GR88" s="5"/>
      <c r="GS88" s="5"/>
      <c r="GT88" s="5"/>
      <c r="GU88" s="5"/>
      <c r="GV88" s="5"/>
      <c r="GW88" s="5"/>
      <c r="GX88" s="5"/>
      <c r="GY88" s="5"/>
      <c r="GZ88" s="5"/>
    </row>
    <row r="89" spans="1:208">
      <c r="A89" s="81">
        <v>1</v>
      </c>
      <c r="B89" s="82">
        <f t="shared" ref="B89:B106" si="77">B36</f>
        <v>0</v>
      </c>
      <c r="C89" s="19"/>
      <c r="D89" s="19" t="e">
        <f t="shared" ref="D89:D106" si="78">IF(C89="",NA(),C89+Ambient_R)</f>
        <v>#N/A</v>
      </c>
      <c r="E89" s="87" t="e">
        <f t="shared" ref="E89:E106" si="79">P78</f>
        <v>#N/A</v>
      </c>
      <c r="F89" s="88"/>
      <c r="G89" s="89"/>
      <c r="H89" s="90"/>
      <c r="I89" s="91"/>
      <c r="M89" s="128">
        <f t="shared" si="59"/>
        <v>12</v>
      </c>
      <c r="N89" s="115">
        <f t="shared" si="56"/>
        <v>2640</v>
      </c>
      <c r="O89" s="131" t="e">
        <f t="shared" si="60"/>
        <v>#N/A</v>
      </c>
      <c r="P89" s="131" t="e">
        <f t="shared" si="61"/>
        <v>#N/A</v>
      </c>
      <c r="Q89" s="131" t="e">
        <f t="shared" si="64"/>
        <v>#N/A</v>
      </c>
      <c r="R89" s="131" t="e">
        <f t="shared" si="62"/>
        <v>#N/A</v>
      </c>
      <c r="S89" s="131" t="e">
        <f t="shared" si="63"/>
        <v>#N/A</v>
      </c>
      <c r="T89" s="131" t="e">
        <f t="shared" si="57"/>
        <v>#N/A</v>
      </c>
      <c r="U89" s="131" t="e">
        <f t="shared" si="58"/>
        <v>#N/A</v>
      </c>
      <c r="V89" s="133" t="e">
        <f t="shared" si="65"/>
        <v>#N/A</v>
      </c>
      <c r="W89" s="133" t="e">
        <f t="shared" si="66"/>
        <v>#N/A</v>
      </c>
      <c r="X89" s="133" t="e">
        <f t="shared" si="67"/>
        <v>#N/A</v>
      </c>
      <c r="Y89" s="131" t="e">
        <f t="shared" si="68"/>
        <v>#N/A</v>
      </c>
      <c r="Z89" s="115"/>
      <c r="AB89" s="157">
        <f t="shared" si="69"/>
        <v>0.5</v>
      </c>
      <c r="AC89" s="168">
        <f t="shared" si="70"/>
        <v>2047.5</v>
      </c>
      <c r="AD89" s="348"/>
      <c r="AE89" s="349" t="e">
        <f t="shared" si="71"/>
        <v>#N/A</v>
      </c>
      <c r="AF89" s="92" t="e">
        <f t="shared" si="72"/>
        <v>#N/A</v>
      </c>
      <c r="AG89" s="93" t="e">
        <f>(AE89-AE88)/(0.5*(AE89+AE88))</f>
        <v>#N/A</v>
      </c>
      <c r="AH89" s="94" t="e">
        <f>AG89/(AF89-AF88)</f>
        <v>#N/A</v>
      </c>
      <c r="AI89" s="95" t="e">
        <f>(AF89+AF88)/2</f>
        <v>#N/A</v>
      </c>
      <c r="AJ89" s="96" t="e">
        <f t="shared" si="76"/>
        <v>#N/A</v>
      </c>
      <c r="AK89" s="76"/>
      <c r="AN89" s="76"/>
      <c r="AO89" s="76"/>
      <c r="AP89" s="76"/>
      <c r="AQ89" s="76"/>
      <c r="AR89" s="76"/>
      <c r="AS89" s="76"/>
      <c r="AT89" s="76"/>
      <c r="AU89" s="76"/>
      <c r="AV89" s="76"/>
      <c r="AW89" s="76"/>
      <c r="AX89" s="76"/>
      <c r="AY89" s="76"/>
      <c r="AZ89" s="76"/>
      <c r="BA89" s="76"/>
      <c r="BB89" s="76"/>
      <c r="BC89" s="76"/>
      <c r="BD89" s="76"/>
      <c r="BE89" s="76"/>
      <c r="BF89" s="76"/>
      <c r="BG89" s="76"/>
      <c r="BH89" s="76"/>
      <c r="BI89" s="76"/>
      <c r="BJ89" s="76"/>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c r="DI89" s="5"/>
      <c r="DJ89" s="5"/>
      <c r="DK89" s="5"/>
      <c r="DL89" s="5"/>
      <c r="DM89" s="5"/>
      <c r="DN89" s="5"/>
      <c r="DO89" s="5"/>
      <c r="DP89" s="5"/>
      <c r="DQ89" s="5"/>
      <c r="DR89" s="5"/>
      <c r="DS89" s="5"/>
      <c r="DT89" s="5"/>
      <c r="DU89" s="5"/>
      <c r="DV89" s="5"/>
      <c r="DW89" s="5"/>
      <c r="DX89" s="5"/>
      <c r="DY89" s="5"/>
      <c r="DZ89" s="5"/>
      <c r="EA89" s="5"/>
      <c r="EB89" s="5"/>
      <c r="EC89" s="5"/>
      <c r="ED89" s="5"/>
      <c r="EE89" s="5"/>
      <c r="EF89" s="5"/>
      <c r="EG89" s="5"/>
      <c r="EH89" s="5"/>
      <c r="EI89" s="5"/>
      <c r="EJ89" s="5"/>
      <c r="EK89" s="5"/>
      <c r="EL89" s="5"/>
      <c r="EM89" s="5"/>
      <c r="EN89" s="5"/>
      <c r="EO89" s="5"/>
      <c r="EP89" s="5"/>
      <c r="EQ89" s="5"/>
      <c r="ER89" s="5"/>
      <c r="ES89" s="5"/>
      <c r="ET89" s="5"/>
      <c r="EU89" s="5"/>
      <c r="EV89" s="5"/>
      <c r="EW89" s="5"/>
      <c r="EX89" s="5"/>
      <c r="EY89" s="5"/>
      <c r="EZ89" s="5"/>
      <c r="FA89" s="5"/>
      <c r="FB89" s="5"/>
      <c r="FC89" s="5"/>
      <c r="FD89" s="5"/>
      <c r="FE89" s="5"/>
      <c r="FF89" s="5"/>
      <c r="FG89" s="5"/>
      <c r="FH89" s="5"/>
      <c r="FI89" s="5"/>
      <c r="FJ89" s="5"/>
      <c r="FK89" s="5"/>
      <c r="FL89" s="5"/>
      <c r="FM89" s="5"/>
      <c r="FN89" s="5"/>
      <c r="FO89" s="5"/>
      <c r="FP89" s="5"/>
      <c r="FQ89" s="5"/>
      <c r="FR89" s="5"/>
      <c r="FS89" s="5"/>
      <c r="FT89" s="5"/>
      <c r="FU89" s="5"/>
      <c r="FV89" s="5"/>
      <c r="FW89" s="5"/>
      <c r="FX89" s="5"/>
      <c r="FY89" s="5"/>
      <c r="FZ89" s="5"/>
      <c r="GA89" s="5"/>
      <c r="GB89" s="5"/>
      <c r="GC89" s="5"/>
      <c r="GD89" s="5"/>
      <c r="GE89" s="5"/>
      <c r="GF89" s="5"/>
      <c r="GG89" s="5"/>
      <c r="GH89" s="5"/>
      <c r="GI89" s="5"/>
      <c r="GJ89" s="5"/>
      <c r="GK89" s="5"/>
      <c r="GL89" s="5"/>
      <c r="GM89" s="5"/>
      <c r="GN89" s="5"/>
      <c r="GO89" s="5"/>
      <c r="GP89" s="5"/>
      <c r="GQ89" s="5"/>
      <c r="GR89" s="5"/>
      <c r="GS89" s="5"/>
      <c r="GT89" s="5"/>
      <c r="GU89" s="5"/>
      <c r="GV89" s="5"/>
      <c r="GW89" s="5"/>
      <c r="GX89" s="5"/>
      <c r="GY89" s="5"/>
      <c r="GZ89" s="5"/>
    </row>
    <row r="90" spans="1:208">
      <c r="A90" s="83">
        <f t="shared" ref="A90:A106" si="80">A89+1</f>
        <v>2</v>
      </c>
      <c r="B90" s="84">
        <f t="shared" si="77"/>
        <v>240</v>
      </c>
      <c r="C90" s="7"/>
      <c r="D90" s="349" t="e">
        <f t="shared" si="78"/>
        <v>#N/A</v>
      </c>
      <c r="E90" s="92" t="e">
        <f t="shared" si="79"/>
        <v>#N/A</v>
      </c>
      <c r="F90" s="93" t="e">
        <f t="shared" ref="F90:F106" si="81">(D90-D89)/(0.5*(D90+D89))</f>
        <v>#N/A</v>
      </c>
      <c r="G90" s="94" t="e">
        <f t="shared" ref="G90:G106" si="82">F90/(E90-E89)</f>
        <v>#N/A</v>
      </c>
      <c r="H90" s="95" t="e">
        <f t="shared" ref="H90:H106" si="83">(E90+E89)/2</f>
        <v>#N/A</v>
      </c>
      <c r="I90" s="96" t="e">
        <f t="shared" ref="I90:I106" si="84">ABS(V79-G90)/V79</f>
        <v>#N/A</v>
      </c>
      <c r="M90" s="128">
        <f t="shared" si="59"/>
        <v>13</v>
      </c>
      <c r="N90" s="115">
        <f t="shared" si="56"/>
        <v>2880</v>
      </c>
      <c r="O90" s="131" t="e">
        <f t="shared" si="60"/>
        <v>#N/A</v>
      </c>
      <c r="P90" s="131" t="e">
        <f t="shared" si="61"/>
        <v>#N/A</v>
      </c>
      <c r="Q90" s="131" t="e">
        <f t="shared" si="64"/>
        <v>#N/A</v>
      </c>
      <c r="R90" s="131" t="e">
        <f t="shared" si="62"/>
        <v>#N/A</v>
      </c>
      <c r="S90" s="131" t="e">
        <f t="shared" si="63"/>
        <v>#N/A</v>
      </c>
      <c r="T90" s="131" t="e">
        <f t="shared" si="57"/>
        <v>#N/A</v>
      </c>
      <c r="U90" s="131" t="e">
        <f t="shared" si="58"/>
        <v>#N/A</v>
      </c>
      <c r="V90" s="133" t="e">
        <f t="shared" si="65"/>
        <v>#N/A</v>
      </c>
      <c r="W90" s="133" t="e">
        <f t="shared" si="66"/>
        <v>#N/A</v>
      </c>
      <c r="X90" s="133" t="e">
        <f t="shared" si="67"/>
        <v>#N/A</v>
      </c>
      <c r="Y90" s="131" t="e">
        <f t="shared" si="68"/>
        <v>#N/A</v>
      </c>
      <c r="Z90" s="115"/>
      <c r="AB90" s="157">
        <f t="shared" si="69"/>
        <v>0.6</v>
      </c>
      <c r="AC90" s="168">
        <f t="shared" si="70"/>
        <v>2457</v>
      </c>
      <c r="AD90" s="348"/>
      <c r="AE90" s="349" t="e">
        <f t="shared" si="71"/>
        <v>#N/A</v>
      </c>
      <c r="AF90" s="92" t="e">
        <f t="shared" si="72"/>
        <v>#N/A</v>
      </c>
      <c r="AG90" s="93" t="e">
        <f t="shared" si="73"/>
        <v>#N/A</v>
      </c>
      <c r="AH90" s="94" t="e">
        <f t="shared" si="74"/>
        <v>#N/A</v>
      </c>
      <c r="AI90" s="95" t="e">
        <f t="shared" si="75"/>
        <v>#N/A</v>
      </c>
      <c r="AJ90" s="96" t="e">
        <f t="shared" si="76"/>
        <v>#N/A</v>
      </c>
      <c r="AK90" s="76"/>
      <c r="AN90" s="76"/>
      <c r="AO90" s="76"/>
      <c r="AP90" s="76"/>
      <c r="AQ90" s="76"/>
      <c r="AR90" s="76"/>
      <c r="AS90" s="76"/>
      <c r="AT90" s="76"/>
      <c r="AU90" s="76"/>
      <c r="AV90" s="76"/>
      <c r="AW90" s="76"/>
      <c r="AX90" s="76"/>
      <c r="AY90" s="76"/>
      <c r="AZ90" s="76"/>
      <c r="BA90" s="76"/>
      <c r="BB90" s="76"/>
      <c r="BC90" s="76"/>
      <c r="BD90" s="76"/>
      <c r="BE90" s="76"/>
      <c r="BF90" s="76"/>
      <c r="BG90" s="76"/>
      <c r="BH90" s="76"/>
      <c r="BI90" s="76"/>
      <c r="BJ90" s="76"/>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c r="DI90" s="5"/>
      <c r="DJ90" s="5"/>
      <c r="DK90" s="5"/>
      <c r="DL90" s="5"/>
      <c r="DM90" s="5"/>
      <c r="DN90" s="5"/>
      <c r="DO90" s="5"/>
      <c r="DP90" s="5"/>
      <c r="DQ90" s="5"/>
      <c r="DR90" s="5"/>
      <c r="DS90" s="5"/>
      <c r="DT90" s="5"/>
      <c r="DU90" s="5"/>
      <c r="DV90" s="5"/>
      <c r="DW90" s="5"/>
      <c r="DX90" s="5"/>
      <c r="DY90" s="5"/>
      <c r="DZ90" s="5"/>
      <c r="EA90" s="5"/>
      <c r="EB90" s="5"/>
      <c r="EC90" s="5"/>
      <c r="ED90" s="5"/>
      <c r="EE90" s="5"/>
      <c r="EF90" s="5"/>
      <c r="EG90" s="5"/>
      <c r="EH90" s="5"/>
      <c r="EI90" s="5"/>
      <c r="EJ90" s="5"/>
      <c r="EK90" s="5"/>
      <c r="EL90" s="5"/>
      <c r="EM90" s="5"/>
      <c r="EN90" s="5"/>
      <c r="EO90" s="5"/>
      <c r="EP90" s="5"/>
      <c r="EQ90" s="5"/>
      <c r="ER90" s="5"/>
      <c r="ES90" s="5"/>
      <c r="ET90" s="5"/>
      <c r="EU90" s="5"/>
      <c r="EV90" s="5"/>
      <c r="EW90" s="5"/>
      <c r="EX90" s="5"/>
      <c r="EY90" s="5"/>
      <c r="EZ90" s="5"/>
      <c r="FA90" s="5"/>
      <c r="FB90" s="5"/>
      <c r="FC90" s="5"/>
      <c r="FD90" s="5"/>
      <c r="FE90" s="5"/>
      <c r="FF90" s="5"/>
      <c r="FG90" s="5"/>
      <c r="FH90" s="5"/>
      <c r="FI90" s="5"/>
      <c r="FJ90" s="5"/>
      <c r="FK90" s="5"/>
      <c r="FL90" s="5"/>
      <c r="FM90" s="5"/>
      <c r="FN90" s="5"/>
      <c r="FO90" s="5"/>
      <c r="FP90" s="5"/>
      <c r="FQ90" s="5"/>
      <c r="FR90" s="5"/>
      <c r="FS90" s="5"/>
      <c r="FT90" s="5"/>
      <c r="FU90" s="5"/>
      <c r="FV90" s="5"/>
      <c r="FW90" s="5"/>
      <c r="FX90" s="5"/>
      <c r="FY90" s="5"/>
      <c r="FZ90" s="5"/>
      <c r="GA90" s="5"/>
      <c r="GB90" s="5"/>
      <c r="GC90" s="5"/>
      <c r="GD90" s="5"/>
      <c r="GE90" s="5"/>
      <c r="GF90" s="5"/>
      <c r="GG90" s="5"/>
      <c r="GH90" s="5"/>
      <c r="GI90" s="5"/>
      <c r="GJ90" s="5"/>
      <c r="GK90" s="5"/>
      <c r="GL90" s="5"/>
      <c r="GM90" s="5"/>
      <c r="GN90" s="5"/>
      <c r="GO90" s="5"/>
      <c r="GP90" s="5"/>
      <c r="GQ90" s="5"/>
      <c r="GR90" s="5"/>
      <c r="GS90" s="5"/>
      <c r="GT90" s="5"/>
      <c r="GU90" s="5"/>
      <c r="GV90" s="5"/>
      <c r="GW90" s="5"/>
      <c r="GX90" s="5"/>
      <c r="GY90" s="5"/>
      <c r="GZ90" s="5"/>
    </row>
    <row r="91" spans="1:208">
      <c r="A91" s="83">
        <f t="shared" si="80"/>
        <v>3</v>
      </c>
      <c r="B91" s="84">
        <f t="shared" si="77"/>
        <v>480</v>
      </c>
      <c r="C91" s="7"/>
      <c r="D91" s="349" t="e">
        <f t="shared" si="78"/>
        <v>#N/A</v>
      </c>
      <c r="E91" s="92" t="e">
        <f t="shared" si="79"/>
        <v>#N/A</v>
      </c>
      <c r="F91" s="93" t="e">
        <f t="shared" si="81"/>
        <v>#N/A</v>
      </c>
      <c r="G91" s="94" t="e">
        <f t="shared" si="82"/>
        <v>#N/A</v>
      </c>
      <c r="H91" s="95" t="e">
        <f t="shared" si="83"/>
        <v>#N/A</v>
      </c>
      <c r="I91" s="96" t="e">
        <f t="shared" si="84"/>
        <v>#N/A</v>
      </c>
      <c r="M91" s="128">
        <f t="shared" si="59"/>
        <v>14</v>
      </c>
      <c r="N91" s="115">
        <f t="shared" si="56"/>
        <v>3120</v>
      </c>
      <c r="O91" s="131" t="e">
        <f t="shared" si="60"/>
        <v>#N/A</v>
      </c>
      <c r="P91" s="131" t="e">
        <f t="shared" si="61"/>
        <v>#N/A</v>
      </c>
      <c r="Q91" s="131" t="e">
        <f t="shared" si="64"/>
        <v>#N/A</v>
      </c>
      <c r="R91" s="131" t="e">
        <f t="shared" si="62"/>
        <v>#N/A</v>
      </c>
      <c r="S91" s="131" t="e">
        <f t="shared" si="63"/>
        <v>#N/A</v>
      </c>
      <c r="T91" s="131" t="e">
        <f t="shared" si="57"/>
        <v>#N/A</v>
      </c>
      <c r="U91" s="131" t="e">
        <f t="shared" si="58"/>
        <v>#N/A</v>
      </c>
      <c r="V91" s="133" t="e">
        <f t="shared" si="65"/>
        <v>#N/A</v>
      </c>
      <c r="W91" s="133" t="e">
        <f t="shared" si="66"/>
        <v>#N/A</v>
      </c>
      <c r="X91" s="133" t="e">
        <f t="shared" si="67"/>
        <v>#N/A</v>
      </c>
      <c r="Y91" s="131" t="e">
        <f t="shared" si="68"/>
        <v>#N/A</v>
      </c>
      <c r="Z91" s="115"/>
      <c r="AB91" s="157">
        <f t="shared" si="69"/>
        <v>0.7</v>
      </c>
      <c r="AC91" s="168">
        <f t="shared" si="70"/>
        <v>2866.5</v>
      </c>
      <c r="AD91" s="348"/>
      <c r="AE91" s="349" t="e">
        <f t="shared" si="71"/>
        <v>#N/A</v>
      </c>
      <c r="AF91" s="92" t="e">
        <f t="shared" si="72"/>
        <v>#N/A</v>
      </c>
      <c r="AG91" s="93" t="e">
        <f t="shared" si="73"/>
        <v>#N/A</v>
      </c>
      <c r="AH91" s="94" t="e">
        <f t="shared" si="74"/>
        <v>#N/A</v>
      </c>
      <c r="AI91" s="95" t="e">
        <f t="shared" si="75"/>
        <v>#N/A</v>
      </c>
      <c r="AJ91" s="96" t="e">
        <f t="shared" si="76"/>
        <v>#N/A</v>
      </c>
      <c r="AK91" s="76"/>
      <c r="AN91" s="76"/>
      <c r="AO91" s="76"/>
      <c r="AP91" s="76"/>
      <c r="AQ91" s="76"/>
      <c r="AR91" s="76"/>
      <c r="AS91" s="76"/>
      <c r="AT91" s="76"/>
      <c r="AU91" s="76"/>
      <c r="AV91" s="76"/>
      <c r="AW91" s="76"/>
      <c r="AX91" s="76"/>
      <c r="AY91" s="76"/>
      <c r="AZ91" s="76"/>
      <c r="BA91" s="76"/>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c r="DI91" s="5"/>
      <c r="DJ91" s="5"/>
      <c r="DK91" s="5"/>
      <c r="DL91" s="5"/>
      <c r="DM91" s="5"/>
      <c r="DN91" s="5"/>
      <c r="DO91" s="5"/>
      <c r="DP91" s="5"/>
      <c r="DQ91" s="5"/>
      <c r="DR91" s="5"/>
      <c r="DS91" s="5"/>
      <c r="DT91" s="5"/>
      <c r="DU91" s="5"/>
      <c r="DV91" s="5"/>
      <c r="DW91" s="5"/>
      <c r="DX91" s="5"/>
      <c r="DY91" s="5"/>
      <c r="DZ91" s="5"/>
      <c r="EA91" s="5"/>
      <c r="EB91" s="5"/>
      <c r="EC91" s="5"/>
      <c r="ED91" s="5"/>
      <c r="EE91" s="5"/>
      <c r="EF91" s="5"/>
      <c r="EG91" s="5"/>
      <c r="EH91" s="5"/>
      <c r="EI91" s="5"/>
      <c r="EJ91" s="5"/>
      <c r="EK91" s="5"/>
      <c r="EL91" s="5"/>
      <c r="EM91" s="5"/>
      <c r="EN91" s="5"/>
      <c r="EO91" s="5"/>
      <c r="EP91" s="5"/>
      <c r="EQ91" s="5"/>
      <c r="ER91" s="5"/>
      <c r="ES91" s="5"/>
      <c r="ET91" s="5"/>
      <c r="EU91" s="5"/>
      <c r="EV91" s="5"/>
      <c r="EW91" s="5"/>
      <c r="EX91" s="5"/>
      <c r="EY91" s="5"/>
      <c r="EZ91" s="5"/>
      <c r="FA91" s="5"/>
      <c r="FB91" s="5"/>
      <c r="FC91" s="5"/>
      <c r="FD91" s="5"/>
      <c r="FE91" s="5"/>
      <c r="FF91" s="5"/>
      <c r="FG91" s="5"/>
      <c r="FH91" s="5"/>
      <c r="FI91" s="5"/>
      <c r="FJ91" s="5"/>
      <c r="FK91" s="5"/>
      <c r="FL91" s="5"/>
      <c r="FM91" s="5"/>
      <c r="FN91" s="5"/>
      <c r="FO91" s="5"/>
      <c r="FP91" s="5"/>
      <c r="FQ91" s="5"/>
      <c r="FR91" s="5"/>
      <c r="FS91" s="5"/>
      <c r="FT91" s="5"/>
      <c r="FU91" s="5"/>
      <c r="FV91" s="5"/>
      <c r="FW91" s="5"/>
      <c r="FX91" s="5"/>
      <c r="FY91" s="5"/>
      <c r="FZ91" s="5"/>
      <c r="GA91" s="5"/>
      <c r="GB91" s="5"/>
      <c r="GC91" s="5"/>
      <c r="GD91" s="5"/>
      <c r="GE91" s="5"/>
      <c r="GF91" s="5"/>
      <c r="GG91" s="5"/>
      <c r="GH91" s="5"/>
      <c r="GI91" s="5"/>
      <c r="GJ91" s="5"/>
      <c r="GK91" s="5"/>
      <c r="GL91" s="5"/>
      <c r="GM91" s="5"/>
      <c r="GN91" s="5"/>
      <c r="GO91" s="5"/>
      <c r="GP91" s="5"/>
      <c r="GQ91" s="5"/>
      <c r="GR91" s="5"/>
      <c r="GS91" s="5"/>
      <c r="GT91" s="5"/>
      <c r="GU91" s="5"/>
      <c r="GV91" s="5"/>
      <c r="GW91" s="5"/>
      <c r="GX91" s="5"/>
      <c r="GY91" s="5"/>
      <c r="GZ91" s="5"/>
    </row>
    <row r="92" spans="1:208">
      <c r="A92" s="83">
        <f t="shared" si="80"/>
        <v>4</v>
      </c>
      <c r="B92" s="84">
        <f t="shared" si="77"/>
        <v>720</v>
      </c>
      <c r="C92" s="7"/>
      <c r="D92" s="349" t="e">
        <f t="shared" si="78"/>
        <v>#N/A</v>
      </c>
      <c r="E92" s="92" t="e">
        <f t="shared" si="79"/>
        <v>#N/A</v>
      </c>
      <c r="F92" s="93" t="e">
        <f t="shared" si="81"/>
        <v>#N/A</v>
      </c>
      <c r="G92" s="94" t="e">
        <f t="shared" si="82"/>
        <v>#N/A</v>
      </c>
      <c r="H92" s="95" t="e">
        <f t="shared" si="83"/>
        <v>#N/A</v>
      </c>
      <c r="I92" s="96" t="e">
        <f t="shared" si="84"/>
        <v>#N/A</v>
      </c>
      <c r="M92" s="128">
        <f t="shared" si="59"/>
        <v>15</v>
      </c>
      <c r="N92" s="115">
        <f t="shared" si="56"/>
        <v>3360</v>
      </c>
      <c r="O92" s="131" t="e">
        <f t="shared" si="60"/>
        <v>#N/A</v>
      </c>
      <c r="P92" s="131" t="e">
        <f t="shared" si="61"/>
        <v>#N/A</v>
      </c>
      <c r="Q92" s="131" t="e">
        <f t="shared" si="64"/>
        <v>#N/A</v>
      </c>
      <c r="R92" s="131" t="e">
        <f t="shared" si="62"/>
        <v>#N/A</v>
      </c>
      <c r="S92" s="131" t="e">
        <f t="shared" si="63"/>
        <v>#N/A</v>
      </c>
      <c r="T92" s="131" t="e">
        <f t="shared" si="57"/>
        <v>#N/A</v>
      </c>
      <c r="U92" s="131" t="e">
        <f t="shared" si="58"/>
        <v>#N/A</v>
      </c>
      <c r="V92" s="133" t="e">
        <f t="shared" si="65"/>
        <v>#N/A</v>
      </c>
      <c r="W92" s="133" t="e">
        <f t="shared" si="66"/>
        <v>#N/A</v>
      </c>
      <c r="X92" s="133" t="e">
        <f t="shared" si="67"/>
        <v>#N/A</v>
      </c>
      <c r="Y92" s="131" t="e">
        <f t="shared" si="68"/>
        <v>#N/A</v>
      </c>
      <c r="Z92" s="115"/>
      <c r="AB92" s="157">
        <f t="shared" si="69"/>
        <v>0.8</v>
      </c>
      <c r="AC92" s="168">
        <f t="shared" si="70"/>
        <v>3276</v>
      </c>
      <c r="AD92" s="348"/>
      <c r="AE92" s="349" t="e">
        <f t="shared" si="71"/>
        <v>#N/A</v>
      </c>
      <c r="AF92" s="92" t="e">
        <f t="shared" si="72"/>
        <v>#N/A</v>
      </c>
      <c r="AG92" s="93" t="e">
        <f t="shared" si="73"/>
        <v>#N/A</v>
      </c>
      <c r="AH92" s="94" t="e">
        <f t="shared" si="74"/>
        <v>#N/A</v>
      </c>
      <c r="AI92" s="95" t="e">
        <f t="shared" si="75"/>
        <v>#N/A</v>
      </c>
      <c r="AJ92" s="96" t="e">
        <f t="shared" si="76"/>
        <v>#N/A</v>
      </c>
      <c r="AK92" s="76"/>
      <c r="AN92" s="76"/>
      <c r="AO92" s="76"/>
      <c r="AP92" s="76"/>
      <c r="AQ92" s="76"/>
      <c r="AR92" s="76"/>
      <c r="AS92" s="76"/>
      <c r="AT92" s="76"/>
      <c r="AU92" s="76"/>
      <c r="AV92" s="76"/>
      <c r="AW92" s="76"/>
      <c r="AX92" s="76"/>
      <c r="AY92" s="76"/>
      <c r="AZ92" s="76"/>
      <c r="BA92" s="76"/>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c r="DI92" s="5"/>
      <c r="DJ92" s="5"/>
      <c r="DK92" s="5"/>
      <c r="DL92" s="5"/>
      <c r="DM92" s="5"/>
      <c r="DN92" s="5"/>
      <c r="DO92" s="5"/>
      <c r="DP92" s="5"/>
      <c r="DQ92" s="5"/>
      <c r="DR92" s="5"/>
      <c r="DS92" s="5"/>
      <c r="DT92" s="5"/>
      <c r="DU92" s="5"/>
      <c r="DV92" s="5"/>
      <c r="DW92" s="5"/>
      <c r="DX92" s="5"/>
      <c r="DY92" s="5"/>
      <c r="DZ92" s="5"/>
      <c r="EA92" s="5"/>
      <c r="EB92" s="5"/>
      <c r="EC92" s="5"/>
      <c r="ED92" s="5"/>
      <c r="EE92" s="5"/>
      <c r="EF92" s="5"/>
      <c r="EG92" s="5"/>
      <c r="EH92" s="5"/>
      <c r="EI92" s="5"/>
      <c r="EJ92" s="5"/>
      <c r="EK92" s="5"/>
      <c r="EL92" s="5"/>
      <c r="EM92" s="5"/>
      <c r="EN92" s="5"/>
      <c r="EO92" s="5"/>
      <c r="EP92" s="5"/>
      <c r="EQ92" s="5"/>
      <c r="ER92" s="5"/>
      <c r="ES92" s="5"/>
      <c r="ET92" s="5"/>
      <c r="EU92" s="5"/>
      <c r="EV92" s="5"/>
      <c r="EW92" s="5"/>
      <c r="EX92" s="5"/>
      <c r="EY92" s="5"/>
      <c r="EZ92" s="5"/>
      <c r="FA92" s="5"/>
      <c r="FB92" s="5"/>
      <c r="FC92" s="5"/>
      <c r="FD92" s="5"/>
      <c r="FE92" s="5"/>
      <c r="FF92" s="5"/>
      <c r="FG92" s="5"/>
      <c r="FH92" s="5"/>
      <c r="FI92" s="5"/>
      <c r="FJ92" s="5"/>
      <c r="FK92" s="5"/>
      <c r="FL92" s="5"/>
      <c r="FM92" s="5"/>
      <c r="FN92" s="5"/>
      <c r="FO92" s="5"/>
      <c r="FP92" s="5"/>
      <c r="FQ92" s="5"/>
      <c r="FR92" s="5"/>
      <c r="FS92" s="5"/>
      <c r="FT92" s="5"/>
      <c r="FU92" s="5"/>
      <c r="FV92" s="5"/>
      <c r="FW92" s="5"/>
      <c r="FX92" s="5"/>
      <c r="FY92" s="5"/>
      <c r="FZ92" s="5"/>
      <c r="GA92" s="5"/>
      <c r="GB92" s="5"/>
      <c r="GC92" s="5"/>
      <c r="GD92" s="5"/>
      <c r="GE92" s="5"/>
      <c r="GF92" s="5"/>
      <c r="GG92" s="5"/>
      <c r="GH92" s="5"/>
      <c r="GI92" s="5"/>
      <c r="GJ92" s="5"/>
      <c r="GK92" s="5"/>
      <c r="GL92" s="5"/>
      <c r="GM92" s="5"/>
      <c r="GN92" s="5"/>
      <c r="GO92" s="5"/>
      <c r="GP92" s="5"/>
      <c r="GQ92" s="5"/>
      <c r="GR92" s="5"/>
      <c r="GS92" s="5"/>
      <c r="GT92" s="5"/>
      <c r="GU92" s="5"/>
      <c r="GV92" s="5"/>
      <c r="GW92" s="5"/>
      <c r="GX92" s="5"/>
      <c r="GY92" s="5"/>
      <c r="GZ92" s="5"/>
    </row>
    <row r="93" spans="1:208">
      <c r="A93" s="83">
        <f t="shared" si="80"/>
        <v>5</v>
      </c>
      <c r="B93" s="84">
        <f t="shared" si="77"/>
        <v>960</v>
      </c>
      <c r="C93" s="7"/>
      <c r="D93" s="349" t="e">
        <f t="shared" si="78"/>
        <v>#N/A</v>
      </c>
      <c r="E93" s="92" t="e">
        <f t="shared" si="79"/>
        <v>#N/A</v>
      </c>
      <c r="F93" s="93" t="e">
        <f t="shared" si="81"/>
        <v>#N/A</v>
      </c>
      <c r="G93" s="94" t="e">
        <f t="shared" si="82"/>
        <v>#N/A</v>
      </c>
      <c r="H93" s="95" t="e">
        <f t="shared" si="83"/>
        <v>#N/A</v>
      </c>
      <c r="I93" s="96" t="e">
        <f t="shared" si="84"/>
        <v>#N/A</v>
      </c>
      <c r="M93" s="128">
        <f t="shared" si="59"/>
        <v>16</v>
      </c>
      <c r="N93" s="115">
        <f t="shared" si="56"/>
        <v>3600</v>
      </c>
      <c r="O93" s="131" t="e">
        <f t="shared" si="60"/>
        <v>#N/A</v>
      </c>
      <c r="P93" s="131" t="e">
        <f t="shared" si="61"/>
        <v>#N/A</v>
      </c>
      <c r="Q93" s="131" t="e">
        <f t="shared" si="64"/>
        <v>#N/A</v>
      </c>
      <c r="R93" s="131" t="e">
        <f t="shared" si="62"/>
        <v>#N/A</v>
      </c>
      <c r="S93" s="131" t="e">
        <f t="shared" si="63"/>
        <v>#N/A</v>
      </c>
      <c r="T93" s="131" t="e">
        <f t="shared" si="57"/>
        <v>#N/A</v>
      </c>
      <c r="U93" s="131" t="e">
        <f t="shared" si="58"/>
        <v>#N/A</v>
      </c>
      <c r="V93" s="133" t="e">
        <f t="shared" si="65"/>
        <v>#N/A</v>
      </c>
      <c r="W93" s="133" t="e">
        <f t="shared" si="66"/>
        <v>#N/A</v>
      </c>
      <c r="X93" s="133" t="e">
        <f t="shared" si="67"/>
        <v>#N/A</v>
      </c>
      <c r="Y93" s="131" t="e">
        <f t="shared" si="68"/>
        <v>#N/A</v>
      </c>
      <c r="Z93" s="115"/>
      <c r="AB93" s="157">
        <f t="shared" si="69"/>
        <v>0.9</v>
      </c>
      <c r="AC93" s="168">
        <f t="shared" si="70"/>
        <v>3685.5</v>
      </c>
      <c r="AD93" s="348"/>
      <c r="AE93" s="349" t="e">
        <f t="shared" si="71"/>
        <v>#N/A</v>
      </c>
      <c r="AF93" s="92" t="e">
        <f t="shared" si="72"/>
        <v>#N/A</v>
      </c>
      <c r="AG93" s="93" t="e">
        <f t="shared" si="73"/>
        <v>#N/A</v>
      </c>
      <c r="AH93" s="94" t="e">
        <f t="shared" si="74"/>
        <v>#N/A</v>
      </c>
      <c r="AI93" s="95" t="e">
        <f t="shared" si="75"/>
        <v>#N/A</v>
      </c>
      <c r="AJ93" s="96" t="e">
        <f t="shared" si="76"/>
        <v>#N/A</v>
      </c>
      <c r="AK93" s="76"/>
      <c r="AN93" s="76"/>
      <c r="AO93" s="76"/>
      <c r="AP93" s="76"/>
      <c r="AQ93" s="76"/>
      <c r="AR93" s="76"/>
      <c r="AS93" s="76"/>
      <c r="AT93" s="76"/>
      <c r="AU93" s="76"/>
      <c r="AV93" s="76"/>
      <c r="AW93" s="76"/>
      <c r="AX93" s="76"/>
      <c r="AY93" s="76"/>
      <c r="AZ93" s="76"/>
      <c r="BA93" s="76"/>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c r="DI93" s="5"/>
      <c r="DJ93" s="5"/>
      <c r="DK93" s="5"/>
      <c r="DL93" s="5"/>
      <c r="DM93" s="5"/>
      <c r="DN93" s="5"/>
      <c r="DO93" s="5"/>
      <c r="DP93" s="5"/>
      <c r="DQ93" s="5"/>
      <c r="DR93" s="5"/>
      <c r="DS93" s="5"/>
      <c r="DT93" s="5"/>
      <c r="DU93" s="5"/>
      <c r="DV93" s="5"/>
      <c r="DW93" s="5"/>
      <c r="DX93" s="5"/>
      <c r="DY93" s="5"/>
      <c r="DZ93" s="5"/>
      <c r="EA93" s="5"/>
      <c r="EB93" s="5"/>
      <c r="EC93" s="5"/>
      <c r="ED93" s="5"/>
      <c r="EE93" s="5"/>
      <c r="EF93" s="5"/>
      <c r="EG93" s="5"/>
      <c r="EH93" s="5"/>
      <c r="EI93" s="5"/>
      <c r="EJ93" s="5"/>
      <c r="EK93" s="5"/>
      <c r="EL93" s="5"/>
      <c r="EM93" s="5"/>
      <c r="EN93" s="5"/>
      <c r="EO93" s="5"/>
      <c r="EP93" s="5"/>
      <c r="EQ93" s="5"/>
      <c r="ER93" s="5"/>
      <c r="ES93" s="5"/>
      <c r="ET93" s="5"/>
      <c r="EU93" s="5"/>
      <c r="EV93" s="5"/>
      <c r="EW93" s="5"/>
      <c r="EX93" s="5"/>
      <c r="EY93" s="5"/>
      <c r="EZ93" s="5"/>
      <c r="FA93" s="5"/>
      <c r="FB93" s="5"/>
      <c r="FC93" s="5"/>
      <c r="FD93" s="5"/>
      <c r="FE93" s="5"/>
      <c r="FF93" s="5"/>
      <c r="FG93" s="5"/>
      <c r="FH93" s="5"/>
      <c r="FI93" s="5"/>
      <c r="FJ93" s="5"/>
      <c r="FK93" s="5"/>
      <c r="FL93" s="5"/>
      <c r="FM93" s="5"/>
      <c r="FN93" s="5"/>
      <c r="FO93" s="5"/>
      <c r="FP93" s="5"/>
      <c r="FQ93" s="5"/>
      <c r="FR93" s="5"/>
      <c r="FS93" s="5"/>
      <c r="FT93" s="5"/>
      <c r="FU93" s="5"/>
      <c r="FV93" s="5"/>
      <c r="FW93" s="5"/>
      <c r="FX93" s="5"/>
      <c r="FY93" s="5"/>
      <c r="FZ93" s="5"/>
      <c r="GA93" s="5"/>
      <c r="GB93" s="5"/>
      <c r="GC93" s="5"/>
      <c r="GD93" s="5"/>
      <c r="GE93" s="5"/>
      <c r="GF93" s="5"/>
      <c r="GG93" s="5"/>
      <c r="GH93" s="5"/>
      <c r="GI93" s="5"/>
      <c r="GJ93" s="5"/>
      <c r="GK93" s="5"/>
      <c r="GL93" s="5"/>
      <c r="GM93" s="5"/>
      <c r="GN93" s="5"/>
      <c r="GO93" s="5"/>
      <c r="GP93" s="5"/>
      <c r="GQ93" s="5"/>
      <c r="GR93" s="5"/>
      <c r="GS93" s="5"/>
      <c r="GT93" s="5"/>
      <c r="GU93" s="5"/>
      <c r="GV93" s="5"/>
      <c r="GW93" s="5"/>
      <c r="GX93" s="5"/>
      <c r="GY93" s="5"/>
      <c r="GZ93" s="5"/>
    </row>
    <row r="94" spans="1:208">
      <c r="A94" s="83">
        <f t="shared" si="80"/>
        <v>6</v>
      </c>
      <c r="B94" s="84">
        <f t="shared" si="77"/>
        <v>1200</v>
      </c>
      <c r="C94" s="7"/>
      <c r="D94" s="349" t="e">
        <f t="shared" si="78"/>
        <v>#N/A</v>
      </c>
      <c r="E94" s="92" t="e">
        <f t="shared" si="79"/>
        <v>#N/A</v>
      </c>
      <c r="F94" s="93" t="e">
        <f t="shared" si="81"/>
        <v>#N/A</v>
      </c>
      <c r="G94" s="94" t="e">
        <f t="shared" si="82"/>
        <v>#N/A</v>
      </c>
      <c r="H94" s="95" t="e">
        <f t="shared" si="83"/>
        <v>#N/A</v>
      </c>
      <c r="I94" s="96" t="e">
        <f t="shared" si="84"/>
        <v>#N/A</v>
      </c>
      <c r="M94" s="128">
        <f t="shared" si="59"/>
        <v>17</v>
      </c>
      <c r="N94" s="115">
        <f t="shared" si="56"/>
        <v>3840</v>
      </c>
      <c r="O94" s="131" t="e">
        <f t="shared" si="60"/>
        <v>#N/A</v>
      </c>
      <c r="P94" s="131" t="e">
        <f t="shared" si="61"/>
        <v>#N/A</v>
      </c>
      <c r="Q94" s="131" t="e">
        <f t="shared" si="64"/>
        <v>#N/A</v>
      </c>
      <c r="R94" s="131" t="e">
        <f t="shared" si="62"/>
        <v>#N/A</v>
      </c>
      <c r="S94" s="131" t="e">
        <f t="shared" si="63"/>
        <v>#N/A</v>
      </c>
      <c r="T94" s="131" t="e">
        <f t="shared" si="57"/>
        <v>#N/A</v>
      </c>
      <c r="U94" s="131" t="e">
        <f t="shared" si="58"/>
        <v>#N/A</v>
      </c>
      <c r="V94" s="133" t="e">
        <f t="shared" si="65"/>
        <v>#N/A</v>
      </c>
      <c r="W94" s="133" t="e">
        <f t="shared" si="66"/>
        <v>#N/A</v>
      </c>
      <c r="X94" s="133" t="e">
        <f t="shared" si="67"/>
        <v>#N/A</v>
      </c>
      <c r="Y94" s="131" t="e">
        <f t="shared" si="68"/>
        <v>#N/A</v>
      </c>
      <c r="Z94" s="114"/>
      <c r="AB94" s="159">
        <f t="shared" si="69"/>
        <v>1</v>
      </c>
      <c r="AC94" s="169">
        <f t="shared" si="70"/>
        <v>4095</v>
      </c>
      <c r="AD94" s="348"/>
      <c r="AE94" s="349" t="e">
        <f t="shared" si="71"/>
        <v>#N/A</v>
      </c>
      <c r="AF94" s="97" t="e">
        <f t="shared" si="72"/>
        <v>#N/A</v>
      </c>
      <c r="AG94" s="98" t="e">
        <f t="shared" si="73"/>
        <v>#N/A</v>
      </c>
      <c r="AH94" s="99" t="e">
        <f t="shared" si="74"/>
        <v>#N/A</v>
      </c>
      <c r="AI94" s="98" t="e">
        <f t="shared" si="75"/>
        <v>#N/A</v>
      </c>
      <c r="AJ94" s="96" t="e">
        <f t="shared" si="76"/>
        <v>#N/A</v>
      </c>
      <c r="AK94" s="76"/>
      <c r="AN94" s="76"/>
      <c r="AO94" s="76"/>
      <c r="AP94" s="76"/>
      <c r="AQ94" s="76"/>
      <c r="AR94" s="76"/>
      <c r="AS94" s="76"/>
      <c r="AT94" s="76"/>
      <c r="AU94" s="76"/>
      <c r="AV94" s="76"/>
      <c r="AW94" s="76"/>
      <c r="AX94" s="76"/>
      <c r="AY94" s="76"/>
      <c r="AZ94" s="76"/>
      <c r="BA94" s="5"/>
    </row>
    <row r="95" spans="1:208" ht="13.5">
      <c r="A95" s="83">
        <f t="shared" si="80"/>
        <v>7</v>
      </c>
      <c r="B95" s="84">
        <f t="shared" si="77"/>
        <v>1440</v>
      </c>
      <c r="C95" s="7"/>
      <c r="D95" s="349" t="e">
        <f t="shared" si="78"/>
        <v>#N/A</v>
      </c>
      <c r="E95" s="92" t="e">
        <f t="shared" si="79"/>
        <v>#N/A</v>
      </c>
      <c r="F95" s="93" t="e">
        <f t="shared" si="81"/>
        <v>#N/A</v>
      </c>
      <c r="G95" s="94" t="e">
        <f t="shared" si="82"/>
        <v>#N/A</v>
      </c>
      <c r="H95" s="95" t="e">
        <f t="shared" si="83"/>
        <v>#N/A</v>
      </c>
      <c r="I95" s="96" t="e">
        <f t="shared" si="84"/>
        <v>#N/A</v>
      </c>
      <c r="M95" s="128">
        <f t="shared" si="59"/>
        <v>18</v>
      </c>
      <c r="N95" s="115">
        <f t="shared" si="56"/>
        <v>4080</v>
      </c>
      <c r="O95" s="129" t="e">
        <f>D106</f>
        <v>#N/A</v>
      </c>
      <c r="P95" s="129" t="e">
        <f>iA_+iB_*LOG10(O95)+iC_*LOG10(O95)^2+iD_*LOG10(O95)^3+iE_*LOG10(O95)^4+iF_*LOG10(O95)^5+iG_*LOG10(O95)^6+iH_*LOG10(O95)^7+iI_*LOG10(O95)^8</f>
        <v>#N/A</v>
      </c>
      <c r="Q95" s="131" t="e">
        <f t="shared" si="64"/>
        <v>#N/A</v>
      </c>
      <c r="R95" s="131" t="e">
        <f t="shared" si="62"/>
        <v>#N/A</v>
      </c>
      <c r="S95" s="131" t="e">
        <f t="shared" si="63"/>
        <v>#N/A</v>
      </c>
      <c r="T95" s="131" t="e">
        <f t="shared" si="57"/>
        <v>#N/A</v>
      </c>
      <c r="U95" s="131" t="e">
        <f t="shared" si="58"/>
        <v>#N/A</v>
      </c>
      <c r="V95" s="133" t="e">
        <f t="shared" si="65"/>
        <v>#N/A</v>
      </c>
      <c r="W95" s="133" t="e">
        <f t="shared" si="66"/>
        <v>#N/A</v>
      </c>
      <c r="X95" s="133" t="e">
        <f t="shared" si="67"/>
        <v>#N/A</v>
      </c>
      <c r="Y95" s="131" t="e">
        <f t="shared" si="68"/>
        <v>#N/A</v>
      </c>
      <c r="Z95" s="114"/>
      <c r="AB95" s="76"/>
      <c r="AC95" s="193" t="s">
        <v>34</v>
      </c>
      <c r="AD95" s="101" t="e">
        <f>AE84-AG81</f>
        <v>#N/A</v>
      </c>
      <c r="AE95" s="102" t="e">
        <f>AE84</f>
        <v>#N/A</v>
      </c>
      <c r="AF95" s="194" t="s">
        <v>36</v>
      </c>
      <c r="AG95" s="191"/>
      <c r="AH95" s="191"/>
      <c r="AI95" s="190" t="s">
        <v>170</v>
      </c>
      <c r="AJ95" s="18" t="e">
        <f>MAX(AJ85:AJ94)</f>
        <v>#N/A</v>
      </c>
      <c r="AK95" s="76"/>
      <c r="AN95" s="76"/>
      <c r="AO95" s="76"/>
      <c r="AP95" s="76"/>
      <c r="AQ95" s="76"/>
      <c r="AR95" s="76"/>
      <c r="AS95" s="76"/>
      <c r="AT95" s="76"/>
      <c r="AU95" s="76"/>
      <c r="AV95" s="76"/>
      <c r="AW95" s="76"/>
      <c r="AX95" s="76"/>
      <c r="AY95" s="76"/>
      <c r="AZ95" s="76"/>
      <c r="BA95" s="5"/>
    </row>
    <row r="96" spans="1:208" ht="13.5">
      <c r="A96" s="83">
        <f t="shared" si="80"/>
        <v>8</v>
      </c>
      <c r="B96" s="84">
        <f t="shared" si="77"/>
        <v>1680</v>
      </c>
      <c r="C96" s="7"/>
      <c r="D96" s="349" t="e">
        <f t="shared" si="78"/>
        <v>#N/A</v>
      </c>
      <c r="E96" s="92" t="e">
        <f t="shared" si="79"/>
        <v>#N/A</v>
      </c>
      <c r="F96" s="93" t="e">
        <f t="shared" si="81"/>
        <v>#N/A</v>
      </c>
      <c r="G96" s="94" t="e">
        <f t="shared" si="82"/>
        <v>#N/A</v>
      </c>
      <c r="H96" s="95" t="e">
        <f t="shared" si="83"/>
        <v>#N/A</v>
      </c>
      <c r="I96" s="96" t="e">
        <f t="shared" si="84"/>
        <v>#N/A</v>
      </c>
      <c r="M96" s="128"/>
      <c r="N96" s="115"/>
      <c r="O96" s="129"/>
      <c r="P96" s="133"/>
      <c r="Q96" s="133"/>
      <c r="R96" s="133"/>
      <c r="S96" s="133"/>
      <c r="T96" s="133"/>
      <c r="U96" s="133"/>
      <c r="V96" s="133"/>
      <c r="W96" s="133"/>
      <c r="X96" s="133"/>
      <c r="Y96" s="115"/>
      <c r="Z96" s="114"/>
      <c r="AB96" s="76"/>
      <c r="AC96" s="193" t="s">
        <v>35</v>
      </c>
      <c r="AD96" s="80" t="e">
        <f>AE94-AG81</f>
        <v>#N/A</v>
      </c>
      <c r="AE96" s="79" t="e">
        <f>AE94</f>
        <v>#N/A</v>
      </c>
      <c r="AF96" s="194" t="s">
        <v>37</v>
      </c>
      <c r="AG96" s="76"/>
      <c r="AH96" s="76"/>
      <c r="AI96" s="191" t="s">
        <v>164</v>
      </c>
      <c r="AJ96" s="104">
        <f>Tol_kontrastrespons</f>
        <v>0.15</v>
      </c>
      <c r="AK96" s="76"/>
      <c r="AN96" s="76"/>
      <c r="AO96" s="76"/>
      <c r="AP96" s="76"/>
      <c r="AQ96" s="76"/>
      <c r="AR96" s="76"/>
      <c r="AS96" s="76"/>
      <c r="AT96" s="76"/>
      <c r="AU96" s="76"/>
      <c r="AV96" s="76"/>
      <c r="AW96" s="76"/>
      <c r="AX96" s="76"/>
      <c r="AY96" s="76"/>
      <c r="AZ96" s="76"/>
      <c r="BA96" s="5"/>
    </row>
    <row r="97" spans="1:52">
      <c r="A97" s="83">
        <f t="shared" si="80"/>
        <v>9</v>
      </c>
      <c r="B97" s="84">
        <f t="shared" si="77"/>
        <v>1920</v>
      </c>
      <c r="C97" s="7"/>
      <c r="D97" s="349" t="e">
        <f t="shared" si="78"/>
        <v>#N/A</v>
      </c>
      <c r="E97" s="92" t="e">
        <f t="shared" si="79"/>
        <v>#N/A</v>
      </c>
      <c r="F97" s="93" t="e">
        <f t="shared" si="81"/>
        <v>#N/A</v>
      </c>
      <c r="G97" s="94" t="e">
        <f t="shared" si="82"/>
        <v>#N/A</v>
      </c>
      <c r="H97" s="95" t="e">
        <f t="shared" si="83"/>
        <v>#N/A</v>
      </c>
      <c r="I97" s="96" t="e">
        <f t="shared" si="84"/>
        <v>#N/A</v>
      </c>
      <c r="M97" s="113"/>
      <c r="N97" s="114"/>
      <c r="O97" s="134" t="s">
        <v>10</v>
      </c>
      <c r="P97" s="114"/>
      <c r="Q97" s="134"/>
      <c r="R97" s="135"/>
      <c r="S97" s="114"/>
      <c r="T97" s="114"/>
      <c r="U97" s="114"/>
      <c r="V97" s="114"/>
      <c r="W97" s="114"/>
      <c r="X97" s="114"/>
      <c r="Y97" s="114"/>
      <c r="Z97" s="114"/>
      <c r="AB97" s="192"/>
      <c r="AC97" s="192"/>
      <c r="AD97" s="193" t="s">
        <v>178</v>
      </c>
      <c r="AE97" s="26" t="e">
        <f>AE96/AE95</f>
        <v>#N/A</v>
      </c>
      <c r="AF97" s="103">
        <f>Tol_kontrastforhold</f>
        <v>250</v>
      </c>
      <c r="AG97" s="191" t="s">
        <v>164</v>
      </c>
      <c r="AH97" s="76"/>
      <c r="AI97" s="76"/>
      <c r="AJ97" s="76"/>
      <c r="AK97" s="76"/>
      <c r="AN97" s="76"/>
      <c r="AO97" s="76"/>
      <c r="AP97" s="76"/>
      <c r="AQ97" s="76"/>
      <c r="AR97" s="76"/>
      <c r="AS97" s="76"/>
      <c r="AT97" s="76"/>
      <c r="AU97" s="76"/>
      <c r="AV97" s="76"/>
      <c r="AW97" s="76"/>
      <c r="AX97" s="76"/>
      <c r="AY97" s="76"/>
      <c r="AZ97" s="76"/>
    </row>
    <row r="98" spans="1:52">
      <c r="A98" s="83">
        <f t="shared" si="80"/>
        <v>10</v>
      </c>
      <c r="B98" s="84">
        <f t="shared" si="77"/>
        <v>2160</v>
      </c>
      <c r="C98" s="7"/>
      <c r="D98" s="349" t="e">
        <f t="shared" si="78"/>
        <v>#N/A</v>
      </c>
      <c r="E98" s="92" t="e">
        <f t="shared" si="79"/>
        <v>#N/A</v>
      </c>
      <c r="F98" s="93" t="e">
        <f t="shared" si="81"/>
        <v>#N/A</v>
      </c>
      <c r="G98" s="94" t="e">
        <f t="shared" si="82"/>
        <v>#N/A</v>
      </c>
      <c r="H98" s="95" t="e">
        <f t="shared" si="83"/>
        <v>#N/A</v>
      </c>
      <c r="I98" s="96" t="e">
        <f t="shared" si="84"/>
        <v>#N/A</v>
      </c>
      <c r="M98" s="113"/>
      <c r="N98" s="119" t="s">
        <v>7</v>
      </c>
      <c r="O98" s="134" t="e">
        <f>(P95-P78)/N95</f>
        <v>#N/A</v>
      </c>
      <c r="P98" s="134"/>
      <c r="Q98" s="114"/>
      <c r="R98" s="134"/>
      <c r="S98" s="135"/>
      <c r="T98" s="114"/>
      <c r="U98" s="114"/>
      <c r="V98" s="114"/>
      <c r="W98" s="114"/>
      <c r="X98" s="114"/>
      <c r="Y98" s="114"/>
      <c r="Z98" s="114"/>
      <c r="AB98" s="192"/>
      <c r="AC98" s="192"/>
      <c r="AD98" s="193" t="s">
        <v>258</v>
      </c>
      <c r="AE98" s="26" t="e">
        <f>AD95/Ambient_R</f>
        <v>#N/A</v>
      </c>
      <c r="AF98" s="240">
        <f>Tol_kontrastforhold2</f>
        <v>1.5</v>
      </c>
      <c r="AG98" s="191" t="s">
        <v>164</v>
      </c>
      <c r="AH98" s="76"/>
      <c r="AI98" s="76"/>
      <c r="AJ98" s="76"/>
      <c r="AK98" s="76"/>
    </row>
    <row r="99" spans="1:52" ht="12.75" thickBot="1">
      <c r="A99" s="83">
        <f t="shared" si="80"/>
        <v>11</v>
      </c>
      <c r="B99" s="84">
        <f t="shared" si="77"/>
        <v>2400</v>
      </c>
      <c r="C99" s="7"/>
      <c r="D99" s="349" t="e">
        <f t="shared" si="78"/>
        <v>#N/A</v>
      </c>
      <c r="E99" s="92" t="e">
        <f t="shared" si="79"/>
        <v>#N/A</v>
      </c>
      <c r="F99" s="93" t="e">
        <f t="shared" si="81"/>
        <v>#N/A</v>
      </c>
      <c r="G99" s="94" t="e">
        <f t="shared" si="82"/>
        <v>#N/A</v>
      </c>
      <c r="H99" s="95" t="e">
        <f t="shared" si="83"/>
        <v>#N/A</v>
      </c>
      <c r="I99" s="96" t="e">
        <f t="shared" si="84"/>
        <v>#N/A</v>
      </c>
      <c r="M99" s="138"/>
      <c r="N99" s="139" t="s">
        <v>8</v>
      </c>
      <c r="O99" s="140" t="e">
        <f>P78</f>
        <v>#N/A</v>
      </c>
      <c r="P99" s="141"/>
      <c r="Q99" s="141"/>
      <c r="R99" s="142"/>
      <c r="S99" s="143"/>
      <c r="T99" s="141"/>
      <c r="U99" s="141"/>
      <c r="V99" s="141"/>
      <c r="W99" s="141"/>
      <c r="X99" s="141"/>
      <c r="Y99" s="141"/>
      <c r="Z99" s="141"/>
      <c r="AB99" s="76"/>
      <c r="AC99" s="76"/>
      <c r="AD99" s="76"/>
      <c r="AE99" s="76"/>
      <c r="AF99" s="76"/>
      <c r="AG99" s="76"/>
      <c r="AH99" s="76"/>
      <c r="AI99" s="76"/>
      <c r="AJ99" s="76"/>
      <c r="AK99" s="76"/>
    </row>
    <row r="100" spans="1:52">
      <c r="A100" s="83">
        <f t="shared" si="80"/>
        <v>12</v>
      </c>
      <c r="B100" s="84">
        <f t="shared" si="77"/>
        <v>2640</v>
      </c>
      <c r="C100" s="7"/>
      <c r="D100" s="349" t="e">
        <f t="shared" si="78"/>
        <v>#N/A</v>
      </c>
      <c r="E100" s="92" t="e">
        <f t="shared" si="79"/>
        <v>#N/A</v>
      </c>
      <c r="F100" s="93" t="e">
        <f t="shared" si="81"/>
        <v>#N/A</v>
      </c>
      <c r="G100" s="94" t="e">
        <f t="shared" si="82"/>
        <v>#N/A</v>
      </c>
      <c r="H100" s="95" t="e">
        <f t="shared" si="83"/>
        <v>#N/A</v>
      </c>
      <c r="I100" s="96" t="e">
        <f t="shared" si="84"/>
        <v>#N/A</v>
      </c>
      <c r="P100" s="12"/>
      <c r="R100" s="10"/>
      <c r="S100" s="11"/>
      <c r="AB100" s="76"/>
      <c r="AC100" s="76"/>
      <c r="AD100" s="76"/>
      <c r="AE100" s="76"/>
      <c r="AF100" s="76"/>
      <c r="AG100" s="76"/>
      <c r="AH100" s="76"/>
      <c r="AI100" s="76"/>
      <c r="AJ100" s="76"/>
      <c r="AK100" s="76"/>
    </row>
    <row r="101" spans="1:52" ht="15.75">
      <c r="A101" s="83">
        <f t="shared" si="80"/>
        <v>13</v>
      </c>
      <c r="B101" s="84">
        <f t="shared" si="77"/>
        <v>2880</v>
      </c>
      <c r="C101" s="7"/>
      <c r="D101" s="349" t="e">
        <f t="shared" si="78"/>
        <v>#N/A</v>
      </c>
      <c r="E101" s="92" t="e">
        <f t="shared" si="79"/>
        <v>#N/A</v>
      </c>
      <c r="F101" s="93" t="e">
        <f t="shared" si="81"/>
        <v>#N/A</v>
      </c>
      <c r="G101" s="94" t="e">
        <f t="shared" si="82"/>
        <v>#N/A</v>
      </c>
      <c r="H101" s="95" t="e">
        <f t="shared" si="83"/>
        <v>#N/A</v>
      </c>
      <c r="I101" s="96" t="e">
        <f t="shared" si="84"/>
        <v>#N/A</v>
      </c>
      <c r="AB101" s="22" t="s">
        <v>171</v>
      </c>
      <c r="AC101" s="76"/>
      <c r="AD101" s="76"/>
      <c r="AE101" s="76"/>
      <c r="AF101" s="76"/>
      <c r="AG101" s="76"/>
      <c r="AH101" s="76"/>
      <c r="AI101" s="76"/>
      <c r="AJ101" s="76"/>
      <c r="AK101" s="76"/>
    </row>
    <row r="102" spans="1:52">
      <c r="A102" s="83">
        <f t="shared" si="80"/>
        <v>14</v>
      </c>
      <c r="B102" s="84">
        <f t="shared" si="77"/>
        <v>3120</v>
      </c>
      <c r="C102" s="7"/>
      <c r="D102" s="349" t="e">
        <f t="shared" si="78"/>
        <v>#N/A</v>
      </c>
      <c r="E102" s="92" t="e">
        <f t="shared" si="79"/>
        <v>#N/A</v>
      </c>
      <c r="F102" s="93" t="e">
        <f t="shared" si="81"/>
        <v>#N/A</v>
      </c>
      <c r="G102" s="94" t="e">
        <f t="shared" si="82"/>
        <v>#N/A</v>
      </c>
      <c r="H102" s="95" t="e">
        <f t="shared" si="83"/>
        <v>#N/A</v>
      </c>
      <c r="I102" s="96" t="e">
        <f t="shared" si="84"/>
        <v>#N/A</v>
      </c>
      <c r="AB102" s="76"/>
      <c r="AC102" s="76"/>
      <c r="AD102" s="76"/>
      <c r="AE102" s="76"/>
      <c r="AF102" s="76"/>
      <c r="AG102" s="76"/>
      <c r="AH102" s="76"/>
      <c r="AI102" s="76"/>
      <c r="AJ102" s="76"/>
      <c r="AK102" s="76"/>
    </row>
    <row r="103" spans="1:52">
      <c r="A103" s="83">
        <f t="shared" si="80"/>
        <v>15</v>
      </c>
      <c r="B103" s="84">
        <f t="shared" si="77"/>
        <v>3360</v>
      </c>
      <c r="C103" s="7"/>
      <c r="D103" s="349" t="e">
        <f t="shared" si="78"/>
        <v>#N/A</v>
      </c>
      <c r="E103" s="92" t="e">
        <f t="shared" si="79"/>
        <v>#N/A</v>
      </c>
      <c r="F103" s="93" t="e">
        <f t="shared" si="81"/>
        <v>#N/A</v>
      </c>
      <c r="G103" s="94" t="e">
        <f t="shared" si="82"/>
        <v>#N/A</v>
      </c>
      <c r="H103" s="95" t="e">
        <f t="shared" si="83"/>
        <v>#N/A</v>
      </c>
      <c r="I103" s="96" t="e">
        <f t="shared" si="84"/>
        <v>#N/A</v>
      </c>
      <c r="AB103" s="194" t="s">
        <v>62</v>
      </c>
      <c r="AC103" s="107" t="e">
        <f>(MAX(AD48,AD96)-MIN(AD48,AD96))/MIN(AD48,AD96)</f>
        <v>#N/A</v>
      </c>
      <c r="AD103" s="76" t="e">
        <f>IF(AC103&lt;=Tol_diff_monitorer,"OK","FEJL")</f>
        <v>#N/A</v>
      </c>
      <c r="AE103" s="76"/>
      <c r="AF103" s="76"/>
      <c r="AG103" s="76"/>
      <c r="AH103" s="76"/>
      <c r="AI103" s="76"/>
      <c r="AJ103" s="76"/>
      <c r="AK103" s="76"/>
    </row>
    <row r="104" spans="1:52">
      <c r="A104" s="83">
        <f t="shared" si="80"/>
        <v>16</v>
      </c>
      <c r="B104" s="84">
        <f t="shared" si="77"/>
        <v>3600</v>
      </c>
      <c r="C104" s="7"/>
      <c r="D104" s="349" t="e">
        <f t="shared" si="78"/>
        <v>#N/A</v>
      </c>
      <c r="E104" s="92" t="e">
        <f t="shared" si="79"/>
        <v>#N/A</v>
      </c>
      <c r="F104" s="93" t="e">
        <f t="shared" si="81"/>
        <v>#N/A</v>
      </c>
      <c r="G104" s="94" t="e">
        <f t="shared" si="82"/>
        <v>#N/A</v>
      </c>
      <c r="H104" s="95" t="e">
        <f t="shared" si="83"/>
        <v>#N/A</v>
      </c>
      <c r="I104" s="96" t="e">
        <f t="shared" si="84"/>
        <v>#N/A</v>
      </c>
      <c r="AB104" s="191" t="s">
        <v>164</v>
      </c>
      <c r="AC104" s="105">
        <f>Tol_diff_monitorer</f>
        <v>0.1</v>
      </c>
      <c r="AD104" s="76"/>
      <c r="AE104" s="76"/>
      <c r="AF104" s="76"/>
      <c r="AG104" s="76"/>
      <c r="AH104" s="76"/>
      <c r="AI104" s="76"/>
      <c r="AJ104" s="76"/>
      <c r="AK104" s="76"/>
    </row>
    <row r="105" spans="1:52">
      <c r="A105" s="83">
        <f t="shared" si="80"/>
        <v>17</v>
      </c>
      <c r="B105" s="84">
        <f t="shared" si="77"/>
        <v>3840</v>
      </c>
      <c r="C105" s="7"/>
      <c r="D105" s="349" t="e">
        <f t="shared" si="78"/>
        <v>#N/A</v>
      </c>
      <c r="E105" s="92" t="e">
        <f t="shared" si="79"/>
        <v>#N/A</v>
      </c>
      <c r="F105" s="93" t="e">
        <f t="shared" si="81"/>
        <v>#N/A</v>
      </c>
      <c r="G105" s="94" t="e">
        <f t="shared" si="82"/>
        <v>#N/A</v>
      </c>
      <c r="H105" s="95" t="e">
        <f t="shared" si="83"/>
        <v>#N/A</v>
      </c>
      <c r="I105" s="96" t="e">
        <f t="shared" si="84"/>
        <v>#N/A</v>
      </c>
      <c r="AB105" s="76"/>
      <c r="AC105" s="76"/>
      <c r="AD105" s="76"/>
      <c r="AE105" s="76"/>
      <c r="AF105" s="76"/>
      <c r="AG105" s="76"/>
      <c r="AH105" s="76"/>
      <c r="AI105" s="76"/>
      <c r="AJ105" s="76"/>
      <c r="AK105" s="76"/>
    </row>
    <row r="106" spans="1:52">
      <c r="A106" s="85">
        <f t="shared" si="80"/>
        <v>18</v>
      </c>
      <c r="B106" s="86">
        <f t="shared" si="77"/>
        <v>4080</v>
      </c>
      <c r="C106" s="15"/>
      <c r="D106" s="349" t="e">
        <f t="shared" si="78"/>
        <v>#N/A</v>
      </c>
      <c r="E106" s="97" t="e">
        <f t="shared" si="79"/>
        <v>#N/A</v>
      </c>
      <c r="F106" s="98" t="e">
        <f t="shared" si="81"/>
        <v>#N/A</v>
      </c>
      <c r="G106" s="99" t="e">
        <f t="shared" si="82"/>
        <v>#N/A</v>
      </c>
      <c r="H106" s="100" t="e">
        <f t="shared" si="83"/>
        <v>#N/A</v>
      </c>
      <c r="I106" s="96" t="e">
        <f t="shared" si="84"/>
        <v>#N/A</v>
      </c>
      <c r="AB106" s="76"/>
      <c r="AC106" s="76"/>
      <c r="AD106" s="76"/>
      <c r="AE106" s="76"/>
      <c r="AF106" s="76"/>
      <c r="AG106" s="76"/>
      <c r="AH106" s="76"/>
      <c r="AI106" s="76"/>
      <c r="AJ106" s="76"/>
      <c r="AK106" s="76"/>
    </row>
    <row r="107" spans="1:52" ht="13.5">
      <c r="B107" s="193" t="s">
        <v>34</v>
      </c>
      <c r="C107" s="101" t="e">
        <f>D89-Ambient_R</f>
        <v>#N/A</v>
      </c>
      <c r="D107" s="102" t="e">
        <f>D89</f>
        <v>#N/A</v>
      </c>
      <c r="E107" s="194" t="s">
        <v>36</v>
      </c>
      <c r="F107" s="191"/>
      <c r="G107" s="191"/>
      <c r="H107" s="190" t="s">
        <v>170</v>
      </c>
      <c r="I107" s="18" t="e">
        <f>MAX(I90:I106)</f>
        <v>#N/A</v>
      </c>
      <c r="AB107" s="76"/>
      <c r="AC107" s="76"/>
      <c r="AD107" s="76"/>
      <c r="AE107" s="76"/>
      <c r="AF107" s="76"/>
      <c r="AG107" s="76"/>
      <c r="AH107" s="76"/>
      <c r="AI107" s="76"/>
      <c r="AJ107" s="76"/>
      <c r="AK107" s="76"/>
    </row>
    <row r="108" spans="1:52" ht="13.5">
      <c r="B108" s="193" t="s">
        <v>172</v>
      </c>
      <c r="C108" s="80" t="e">
        <f>D106-Ambient_R</f>
        <v>#N/A</v>
      </c>
      <c r="D108" s="79" t="e">
        <f>D106</f>
        <v>#N/A</v>
      </c>
      <c r="E108" s="194" t="s">
        <v>173</v>
      </c>
      <c r="G108" s="76"/>
      <c r="H108" s="191" t="s">
        <v>164</v>
      </c>
      <c r="I108" s="104">
        <f>Tol_kontrastrespons</f>
        <v>0.15</v>
      </c>
      <c r="AB108" s="76"/>
      <c r="AC108" s="76"/>
      <c r="AD108" s="76"/>
      <c r="AE108" s="76"/>
      <c r="AF108" s="76"/>
      <c r="AG108" s="76"/>
      <c r="AH108" s="76"/>
      <c r="AI108" s="76"/>
      <c r="AJ108" s="76"/>
      <c r="AK108" s="76"/>
    </row>
    <row r="109" spans="1:52">
      <c r="A109" s="192"/>
      <c r="B109" s="192"/>
      <c r="C109" s="193" t="s">
        <v>178</v>
      </c>
      <c r="D109" s="26" t="e">
        <f>D108/D107</f>
        <v>#N/A</v>
      </c>
      <c r="E109" s="103">
        <f>Tol_kontrastforhold</f>
        <v>250</v>
      </c>
      <c r="F109" s="191" t="s">
        <v>164</v>
      </c>
      <c r="AB109" s="76"/>
      <c r="AC109" s="76"/>
      <c r="AD109" s="76"/>
      <c r="AE109" s="76"/>
      <c r="AF109" s="76"/>
      <c r="AG109" s="76"/>
      <c r="AH109" s="76"/>
      <c r="AI109" s="76"/>
      <c r="AJ109" s="76"/>
      <c r="AK109" s="76"/>
    </row>
    <row r="110" spans="1:52">
      <c r="A110" s="192"/>
      <c r="B110" s="192"/>
      <c r="C110" s="193" t="s">
        <v>258</v>
      </c>
      <c r="D110" s="26" t="e">
        <f>C107/Ambient_R</f>
        <v>#N/A</v>
      </c>
      <c r="E110" s="240">
        <f>Tol_kontrastforhold2</f>
        <v>1.5</v>
      </c>
      <c r="F110" s="191" t="s">
        <v>164</v>
      </c>
      <c r="AB110" s="76"/>
      <c r="AC110" s="76"/>
      <c r="AD110" s="76"/>
      <c r="AE110" s="76"/>
      <c r="AF110" s="76"/>
      <c r="AG110" s="76"/>
      <c r="AH110" s="76"/>
      <c r="AI110" s="76"/>
      <c r="AJ110" s="76"/>
      <c r="AK110" s="76"/>
    </row>
    <row r="113" spans="1:3" ht="15.75">
      <c r="A113" s="22" t="s">
        <v>171</v>
      </c>
    </row>
    <row r="115" spans="1:3">
      <c r="A115" s="194" t="s">
        <v>62</v>
      </c>
      <c r="B115" s="107" t="e">
        <f>(MAX(C55,C108)-MIN(C55,C108))/MIN(C55,C108)</f>
        <v>#N/A</v>
      </c>
      <c r="C115" s="106" t="e">
        <f>IF(B115&lt;=Tol_diff_monitorer,"OK","FEJL")</f>
        <v>#N/A</v>
      </c>
    </row>
    <row r="116" spans="1:3">
      <c r="A116" s="191" t="s">
        <v>164</v>
      </c>
      <c r="B116" s="105">
        <f>Tol_diff_monitorer</f>
        <v>0.1</v>
      </c>
    </row>
  </sheetData>
  <mergeCells count="43">
    <mergeCell ref="AD82:AE82"/>
    <mergeCell ref="A1:C3"/>
    <mergeCell ref="D1:L2"/>
    <mergeCell ref="D3:L3"/>
    <mergeCell ref="A4:L4"/>
    <mergeCell ref="A5:L6"/>
    <mergeCell ref="AA4:AC4"/>
    <mergeCell ref="AA5:AC5"/>
    <mergeCell ref="AD5:AL5"/>
    <mergeCell ref="AA6:AC6"/>
    <mergeCell ref="AD6:AL6"/>
    <mergeCell ref="AD4:AH4"/>
    <mergeCell ref="AB82:AC82"/>
    <mergeCell ref="M31:N31"/>
    <mergeCell ref="AB72:AJ77"/>
    <mergeCell ref="AB26:AJ31"/>
    <mergeCell ref="AI4:AJ4"/>
    <mergeCell ref="AK4:AL4"/>
    <mergeCell ref="AA1:AL2"/>
    <mergeCell ref="AA3:AL3"/>
    <mergeCell ref="AU69:AV69"/>
    <mergeCell ref="AW69:AY69"/>
    <mergeCell ref="AB34:AC34"/>
    <mergeCell ref="AD34:AE34"/>
    <mergeCell ref="AN31:AO31"/>
    <mergeCell ref="AS31:AT31"/>
    <mergeCell ref="AU31:AV31"/>
    <mergeCell ref="AW31:AY31"/>
    <mergeCell ref="AN69:AO69"/>
    <mergeCell ref="AR69:AT69"/>
    <mergeCell ref="R31:S31"/>
    <mergeCell ref="T31:U31"/>
    <mergeCell ref="V31:X31"/>
    <mergeCell ref="A87:B87"/>
    <mergeCell ref="C87:D87"/>
    <mergeCell ref="M76:N76"/>
    <mergeCell ref="Q76:S76"/>
    <mergeCell ref="T76:U76"/>
    <mergeCell ref="V76:X76"/>
    <mergeCell ref="A34:B34"/>
    <mergeCell ref="C34:D34"/>
    <mergeCell ref="A79:I84"/>
    <mergeCell ref="A26:I31"/>
  </mergeCells>
  <phoneticPr fontId="9" type="noConversion"/>
  <conditionalFormatting sqref="C115">
    <cfRule type="cellIs" dxfId="107" priority="81" stopIfTrue="1" operator="equal">
      <formula>"OK"</formula>
    </cfRule>
    <cfRule type="cellIs" dxfId="106" priority="82" stopIfTrue="1" operator="equal">
      <formula>"FEJL"</formula>
    </cfRule>
  </conditionalFormatting>
  <conditionalFormatting sqref="I54 I107">
    <cfRule type="cellIs" dxfId="105" priority="85" stopIfTrue="1" operator="lessThanOrEqual">
      <formula>Tol_kontrastrespons</formula>
    </cfRule>
    <cfRule type="cellIs" dxfId="104" priority="86" stopIfTrue="1" operator="greaterThan">
      <formula>Tol_kontrastrespons</formula>
    </cfRule>
  </conditionalFormatting>
  <conditionalFormatting sqref="C54">
    <cfRule type="cellIs" dxfId="103" priority="87" stopIfTrue="1" operator="lessThan">
      <formula>1.5*F33</formula>
    </cfRule>
  </conditionalFormatting>
  <conditionalFormatting sqref="C107">
    <cfRule type="cellIs" dxfId="102" priority="80" operator="lessThan">
      <formula>1.5*F86</formula>
    </cfRule>
  </conditionalFormatting>
  <conditionalFormatting sqref="A5:L6">
    <cfRule type="expression" dxfId="101" priority="52">
      <formula>$A$5=""</formula>
    </cfRule>
  </conditionalFormatting>
  <conditionalFormatting sqref="AD103">
    <cfRule type="cellIs" dxfId="100" priority="35" stopIfTrue="1" operator="equal">
      <formula>"OK"</formula>
    </cfRule>
    <cfRule type="cellIs" dxfId="99" priority="36" stopIfTrue="1" operator="equal">
      <formula>"FEJL"</formula>
    </cfRule>
  </conditionalFormatting>
  <conditionalFormatting sqref="AE97 AE49">
    <cfRule type="cellIs" dxfId="98" priority="37" stopIfTrue="1" operator="greaterThanOrEqual">
      <formula>$AF$49</formula>
    </cfRule>
    <cfRule type="cellIs" dxfId="97" priority="38" stopIfTrue="1" operator="lessThan">
      <formula>$AF$49</formula>
    </cfRule>
  </conditionalFormatting>
  <conditionalFormatting sqref="AJ47 AJ95">
    <cfRule type="cellIs" dxfId="96" priority="39" stopIfTrue="1" operator="lessThanOrEqual">
      <formula>Tol_kontrastrespons</formula>
    </cfRule>
    <cfRule type="cellIs" dxfId="95" priority="40" stopIfTrue="1" operator="greaterThan">
      <formula>Tol_kontrastrespons</formula>
    </cfRule>
  </conditionalFormatting>
  <conditionalFormatting sqref="AD47">
    <cfRule type="cellIs" dxfId="94" priority="41" stopIfTrue="1" operator="lessThan">
      <formula>1.5*AG33</formula>
    </cfRule>
  </conditionalFormatting>
  <conditionalFormatting sqref="AD95">
    <cfRule type="cellIs" dxfId="93" priority="34" operator="lessThan">
      <formula>1.5*AG81</formula>
    </cfRule>
  </conditionalFormatting>
  <conditionalFormatting sqref="D110">
    <cfRule type="cellIs" dxfId="92" priority="24" stopIfTrue="1" operator="greaterThanOrEqual">
      <formula>Tol_kontrastforhold2</formula>
    </cfRule>
    <cfRule type="cellIs" dxfId="91" priority="25" stopIfTrue="1" operator="lessThan">
      <formula>Tol_kontrastforhold2</formula>
    </cfRule>
  </conditionalFormatting>
  <conditionalFormatting sqref="AE98">
    <cfRule type="cellIs" dxfId="90" priority="22" stopIfTrue="1" operator="greaterThanOrEqual">
      <formula>Tol_kontrastforhold2</formula>
    </cfRule>
    <cfRule type="cellIs" dxfId="89" priority="23" stopIfTrue="1" operator="lessThan">
      <formula>Tol_kontrastforhold2</formula>
    </cfRule>
  </conditionalFormatting>
  <conditionalFormatting sqref="AE50">
    <cfRule type="cellIs" dxfId="88" priority="20" stopIfTrue="1" operator="greaterThanOrEqual">
      <formula>Tol_kontrastforhold2</formula>
    </cfRule>
    <cfRule type="cellIs" dxfId="87" priority="21" stopIfTrue="1" operator="lessThan">
      <formula>Tol_kontrastforhold2</formula>
    </cfRule>
  </conditionalFormatting>
  <conditionalFormatting sqref="AD4:AH4">
    <cfRule type="expression" dxfId="86" priority="10" stopIfTrue="1">
      <formula>"$AD$4"</formula>
    </cfRule>
  </conditionalFormatting>
  <conditionalFormatting sqref="AK4:AL4">
    <cfRule type="expression" dxfId="85" priority="11" stopIfTrue="1">
      <formula>$AK$4=""</formula>
    </cfRule>
  </conditionalFormatting>
  <conditionalFormatting sqref="AA1:AL2">
    <cfRule type="cellIs" dxfId="84" priority="13" stopIfTrue="1" operator="equal">
      <formula>""</formula>
    </cfRule>
  </conditionalFormatting>
  <conditionalFormatting sqref="AD5:AL5">
    <cfRule type="expression" dxfId="83" priority="9">
      <formula>$AD$5=""</formula>
    </cfRule>
  </conditionalFormatting>
  <conditionalFormatting sqref="AD6">
    <cfRule type="expression" dxfId="82" priority="8">
      <formula>$AD$6=""</formula>
    </cfRule>
  </conditionalFormatting>
  <conditionalFormatting sqref="AA3:AL3">
    <cfRule type="expression" dxfId="81" priority="6">
      <formula>$AD$4=""</formula>
    </cfRule>
  </conditionalFormatting>
  <conditionalFormatting sqref="F33">
    <cfRule type="expression" dxfId="80" priority="4">
      <formula>$F$33=0</formula>
    </cfRule>
    <cfRule type="expression" dxfId="79" priority="5">
      <formula>$F$33=""</formula>
    </cfRule>
  </conditionalFormatting>
  <conditionalFormatting sqref="D110 D57">
    <cfRule type="cellIs" dxfId="78" priority="83" stopIfTrue="1" operator="greaterThanOrEqual">
      <formula>Tol_kontrastforhold2</formula>
    </cfRule>
    <cfRule type="cellIs" dxfId="77" priority="84" stopIfTrue="1" operator="lessThan">
      <formula>Tol_kontrastforhold2</formula>
    </cfRule>
  </conditionalFormatting>
  <conditionalFormatting sqref="D56 D109">
    <cfRule type="cellIs" dxfId="76" priority="1" stopIfTrue="1" operator="greaterThanOrEqual">
      <formula>$E$56</formula>
    </cfRule>
    <cfRule type="cellIs" dxfId="75" priority="2" stopIfTrue="1" operator="lessThan">
      <formula>$E$56</formula>
    </cfRule>
  </conditionalFormatting>
  <dataValidations disablePrompts="1" count="1">
    <dataValidation type="list" showInputMessage="1" showErrorMessage="1" sqref="A35">
      <formula1>$O$9:$O$9</formula1>
    </dataValidation>
  </dataValidations>
  <printOptions horizontalCentered="1"/>
  <pageMargins left="0.39370078740157483" right="0.39370078740157483" top="0.39370078740157483" bottom="0.39370078740157483" header="0.15748031496062992" footer="0.15748031496062992"/>
  <pageSetup paperSize="9" scale="88" orientation="portrait" r:id="rId1"/>
  <headerFooter alignWithMargins="0">
    <oddFooter>&amp;L&amp;F&amp;RPrinted &amp;D</oddFooter>
  </headerFooter>
  <drawing r:id="rId2"/>
  <legacyDrawing r:id="rId3"/>
  <oleObjects>
    <mc:AlternateContent xmlns:mc="http://schemas.openxmlformats.org/markup-compatibility/2006">
      <mc:Choice Requires="x14">
        <oleObject progId="Equation.3" shapeId="1057" r:id="rId4">
          <objectPr defaultSize="0" autoPict="0" r:id="rId5">
            <anchor moveWithCells="1">
              <from>
                <xdr:col>0</xdr:col>
                <xdr:colOff>57150</xdr:colOff>
                <xdr:row>117</xdr:row>
                <xdr:rowOff>19050</xdr:rowOff>
              </from>
              <to>
                <xdr:col>5</xdr:col>
                <xdr:colOff>485775</xdr:colOff>
                <xdr:row>123</xdr:row>
                <xdr:rowOff>76200</xdr:rowOff>
              </to>
            </anchor>
          </objectPr>
        </oleObject>
      </mc:Choice>
      <mc:Fallback>
        <oleObject progId="Equation.3" shapeId="1057" r:id="rId4"/>
      </mc:Fallback>
    </mc:AlternateContent>
    <mc:AlternateContent xmlns:mc="http://schemas.openxmlformats.org/markup-compatibility/2006">
      <mc:Choice Requires="x14">
        <oleObject progId="Equation.3" shapeId="1073" r:id="rId6">
          <objectPr defaultSize="0" autoPict="0" r:id="rId7">
            <anchor moveWithCells="1">
              <from>
                <xdr:col>27</xdr:col>
                <xdr:colOff>28575</xdr:colOff>
                <xdr:row>104</xdr:row>
                <xdr:rowOff>85725</xdr:rowOff>
              </from>
              <to>
                <xdr:col>32</xdr:col>
                <xdr:colOff>590550</xdr:colOff>
                <xdr:row>110</xdr:row>
                <xdr:rowOff>95250</xdr:rowOff>
              </to>
            </anchor>
          </objectPr>
        </oleObject>
      </mc:Choice>
      <mc:Fallback>
        <oleObject progId="Equation.3" shapeId="1073" r:id="rId6"/>
      </mc:Fallback>
    </mc:AlternateContent>
  </oleObjects>
  <extLst>
    <ext xmlns:x14="http://schemas.microsoft.com/office/spreadsheetml/2009/9/main" uri="{78C0D931-6437-407d-A8EE-F0AAD7539E65}">
      <x14:conditionalFormattings>
        <x14:conditionalFormatting xmlns:xm="http://schemas.microsoft.com/office/excel/2006/main">
          <x14:cfRule type="expression" priority="3" id="{CEAE0236-8D50-401D-8050-DB4A21992A30}">
            <xm:f>Oplysningsside!$R$24=""</xm:f>
            <x14:dxf>
              <fill>
                <patternFill patternType="none">
                  <bgColor auto="1"/>
                </patternFill>
              </fill>
            </x14:dxf>
          </x14:cfRule>
          <xm:sqref>F33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workbookViewId="0">
      <selection activeCell="P11" sqref="P11"/>
    </sheetView>
  </sheetViews>
  <sheetFormatPr defaultColWidth="4.7109375" defaultRowHeight="12.75"/>
  <cols>
    <col min="1" max="1" width="23.42578125" bestFit="1" customWidth="1"/>
    <col min="2" max="2" width="8.42578125" customWidth="1"/>
  </cols>
  <sheetData>
    <row r="1" spans="1:24" ht="12.75" customHeight="1">
      <c r="A1" s="375" t="s">
        <v>126</v>
      </c>
      <c r="B1" s="376"/>
      <c r="C1" s="376"/>
      <c r="D1" s="381" t="s">
        <v>127</v>
      </c>
      <c r="E1" s="381"/>
      <c r="F1" s="381"/>
      <c r="G1" s="381"/>
      <c r="H1" s="381"/>
      <c r="I1" s="381"/>
      <c r="J1" s="381"/>
      <c r="K1" s="381"/>
      <c r="L1" s="382"/>
      <c r="M1" s="385" t="str">
        <f>IF(Oplysningsside!$I$14="","",Oplysningsside!$I$14)</f>
        <v/>
      </c>
      <c r="N1" s="386"/>
      <c r="O1" s="386"/>
      <c r="P1" s="386"/>
      <c r="Q1" s="386"/>
      <c r="R1" s="386"/>
      <c r="S1" s="386"/>
      <c r="T1" s="386"/>
      <c r="U1" s="386"/>
      <c r="V1" s="386"/>
      <c r="W1" s="386"/>
      <c r="X1" s="387"/>
    </row>
    <row r="2" spans="1:24" ht="12.75" customHeight="1">
      <c r="A2" s="377"/>
      <c r="B2" s="378"/>
      <c r="C2" s="378"/>
      <c r="D2" s="383"/>
      <c r="E2" s="383"/>
      <c r="F2" s="383"/>
      <c r="G2" s="383"/>
      <c r="H2" s="383"/>
      <c r="I2" s="383"/>
      <c r="J2" s="383"/>
      <c r="K2" s="383"/>
      <c r="L2" s="384"/>
      <c r="M2" s="388"/>
      <c r="N2" s="389"/>
      <c r="O2" s="389"/>
      <c r="P2" s="389"/>
      <c r="Q2" s="389"/>
      <c r="R2" s="389"/>
      <c r="S2" s="389"/>
      <c r="T2" s="389"/>
      <c r="U2" s="389"/>
      <c r="V2" s="389"/>
      <c r="W2" s="389"/>
      <c r="X2" s="390"/>
    </row>
    <row r="3" spans="1:24" ht="16.5" customHeight="1" thickBot="1">
      <c r="A3" s="379"/>
      <c r="B3" s="380"/>
      <c r="C3" s="380"/>
      <c r="D3" s="391" t="s">
        <v>128</v>
      </c>
      <c r="E3" s="391"/>
      <c r="F3" s="391"/>
      <c r="G3" s="391"/>
      <c r="H3" s="391"/>
      <c r="I3" s="391"/>
      <c r="J3" s="391"/>
      <c r="K3" s="391"/>
      <c r="L3" s="392"/>
      <c r="M3" s="393" t="str">
        <f>IF(Oplysningsside!$I$14="","","for diagnostiske monitorer")</f>
        <v/>
      </c>
      <c r="N3" s="394"/>
      <c r="O3" s="394"/>
      <c r="P3" s="394"/>
      <c r="Q3" s="394"/>
      <c r="R3" s="394"/>
      <c r="S3" s="394"/>
      <c r="T3" s="394"/>
      <c r="U3" s="394"/>
      <c r="V3" s="394"/>
      <c r="W3" s="394"/>
      <c r="X3" s="395"/>
    </row>
    <row r="4" spans="1:24" ht="16.5" thickBot="1">
      <c r="A4" s="407" t="s">
        <v>50</v>
      </c>
      <c r="B4" s="408"/>
      <c r="C4" s="408"/>
      <c r="D4" s="408"/>
      <c r="E4" s="408"/>
      <c r="F4" s="408"/>
      <c r="G4" s="408"/>
      <c r="H4" s="408"/>
      <c r="I4" s="408"/>
      <c r="J4" s="408"/>
      <c r="K4" s="408"/>
      <c r="L4" s="409"/>
      <c r="M4" s="413" t="s">
        <v>69</v>
      </c>
      <c r="N4" s="414"/>
      <c r="O4" s="415"/>
      <c r="P4" s="416" t="str">
        <f>IF(Oplysningsside!$I$17="","",Oplysningsside!$I$17)</f>
        <v/>
      </c>
      <c r="Q4" s="416"/>
      <c r="R4" s="416"/>
      <c r="S4" s="416"/>
      <c r="T4" s="417"/>
      <c r="U4" s="515" t="s">
        <v>70</v>
      </c>
      <c r="V4" s="516"/>
      <c r="W4" s="517" t="str">
        <f>IF(Oplysningsside!$I$18="","",Oplysningsside!$I$18)</f>
        <v/>
      </c>
      <c r="X4" s="518"/>
    </row>
    <row r="5" spans="1:24" ht="13.5" customHeight="1" thickBot="1">
      <c r="A5" s="396" t="str">
        <f>IF(Oplysningsside!$I$16="","",Oplysningsside!$I$16)</f>
        <v/>
      </c>
      <c r="B5" s="397"/>
      <c r="C5" s="397"/>
      <c r="D5" s="397"/>
      <c r="E5" s="397"/>
      <c r="F5" s="397"/>
      <c r="G5" s="397"/>
      <c r="H5" s="397"/>
      <c r="I5" s="397"/>
      <c r="J5" s="397"/>
      <c r="K5" s="397"/>
      <c r="L5" s="398"/>
      <c r="M5" s="410" t="s">
        <v>159</v>
      </c>
      <c r="N5" s="402"/>
      <c r="O5" s="403"/>
      <c r="P5" s="411" t="str">
        <f>IF(Oplysningsside!$R$27="","",Oplysningsside!$R$27)</f>
        <v/>
      </c>
      <c r="Q5" s="411"/>
      <c r="R5" s="411"/>
      <c r="S5" s="411"/>
      <c r="T5" s="411"/>
      <c r="U5" s="411"/>
      <c r="V5" s="411"/>
      <c r="W5" s="411"/>
      <c r="X5" s="412"/>
    </row>
    <row r="6" spans="1:24" ht="13.5" customHeight="1" thickBot="1">
      <c r="A6" s="399"/>
      <c r="B6" s="400"/>
      <c r="C6" s="400"/>
      <c r="D6" s="400"/>
      <c r="E6" s="400"/>
      <c r="F6" s="400"/>
      <c r="G6" s="400"/>
      <c r="H6" s="400"/>
      <c r="I6" s="400"/>
      <c r="J6" s="400"/>
      <c r="K6" s="400"/>
      <c r="L6" s="401"/>
      <c r="M6" s="402" t="s">
        <v>129</v>
      </c>
      <c r="N6" s="402"/>
      <c r="O6" s="403"/>
      <c r="P6" s="404">
        <f>IF(Oplysningsside!$I$15="dd-mm-åå","",Oplysningsside!$I$15)</f>
        <v>0</v>
      </c>
      <c r="Q6" s="405"/>
      <c r="R6" s="405"/>
      <c r="S6" s="405"/>
      <c r="T6" s="405"/>
      <c r="U6" s="405"/>
      <c r="V6" s="405"/>
      <c r="W6" s="405"/>
      <c r="X6" s="406"/>
    </row>
    <row r="8" spans="1:24" s="36" customFormat="1" ht="23.25">
      <c r="A8" s="239" t="s">
        <v>46</v>
      </c>
    </row>
    <row r="9" spans="1:24" ht="23.25">
      <c r="A9" s="20"/>
      <c r="F9" s="237"/>
      <c r="G9" s="27"/>
      <c r="H9" s="27"/>
      <c r="I9" s="27"/>
    </row>
    <row r="10" spans="1:24">
      <c r="A10" s="201" t="s">
        <v>84</v>
      </c>
    </row>
    <row r="11" spans="1:24" ht="13.5" thickBot="1"/>
    <row r="12" spans="1:24" ht="13.5" thickBot="1">
      <c r="A12" s="267" t="s">
        <v>47</v>
      </c>
      <c r="E12" s="253" t="s">
        <v>118</v>
      </c>
      <c r="F12" s="254"/>
      <c r="G12" s="254"/>
      <c r="H12" s="255"/>
      <c r="I12" s="36"/>
      <c r="J12" s="36"/>
      <c r="K12" s="36"/>
      <c r="L12" s="36"/>
      <c r="M12" s="36"/>
      <c r="N12" s="36"/>
      <c r="O12" s="36"/>
      <c r="P12" s="36"/>
    </row>
    <row r="13" spans="1:24">
      <c r="A13" s="202" t="s">
        <v>85</v>
      </c>
      <c r="B13" s="180"/>
      <c r="E13" s="525"/>
      <c r="F13" s="534"/>
      <c r="G13" s="534"/>
      <c r="H13" s="534"/>
      <c r="I13" s="534"/>
      <c r="J13" s="534"/>
      <c r="K13" s="534"/>
      <c r="L13" s="534"/>
      <c r="M13" s="534"/>
      <c r="N13" s="534"/>
      <c r="O13" s="534"/>
      <c r="P13" s="535"/>
    </row>
    <row r="14" spans="1:24">
      <c r="A14" s="202" t="s">
        <v>86</v>
      </c>
      <c r="B14" s="181"/>
      <c r="E14" s="536"/>
      <c r="F14" s="537"/>
      <c r="G14" s="537"/>
      <c r="H14" s="537"/>
      <c r="I14" s="537"/>
      <c r="J14" s="537"/>
      <c r="K14" s="537"/>
      <c r="L14" s="537"/>
      <c r="M14" s="537"/>
      <c r="N14" s="537"/>
      <c r="O14" s="537"/>
      <c r="P14" s="538"/>
    </row>
    <row r="15" spans="1:24">
      <c r="A15" s="202" t="s">
        <v>87</v>
      </c>
      <c r="B15" s="181"/>
      <c r="E15" s="536"/>
      <c r="F15" s="537"/>
      <c r="G15" s="537"/>
      <c r="H15" s="537"/>
      <c r="I15" s="537"/>
      <c r="J15" s="537"/>
      <c r="K15" s="537"/>
      <c r="L15" s="537"/>
      <c r="M15" s="537"/>
      <c r="N15" s="537"/>
      <c r="O15" s="537"/>
      <c r="P15" s="538"/>
    </row>
    <row r="16" spans="1:24">
      <c r="A16" s="202" t="s">
        <v>88</v>
      </c>
      <c r="B16" s="181"/>
      <c r="E16" s="536"/>
      <c r="F16" s="537"/>
      <c r="G16" s="537"/>
      <c r="H16" s="537"/>
      <c r="I16" s="537"/>
      <c r="J16" s="537"/>
      <c r="K16" s="537"/>
      <c r="L16" s="537"/>
      <c r="M16" s="537"/>
      <c r="N16" s="537"/>
      <c r="O16" s="537"/>
      <c r="P16" s="538"/>
    </row>
    <row r="17" spans="1:16">
      <c r="A17" s="203" t="s">
        <v>89</v>
      </c>
      <c r="B17" s="182"/>
      <c r="E17" s="536"/>
      <c r="F17" s="537"/>
      <c r="G17" s="537"/>
      <c r="H17" s="537"/>
      <c r="I17" s="537"/>
      <c r="J17" s="537"/>
      <c r="K17" s="537"/>
      <c r="L17" s="537"/>
      <c r="M17" s="537"/>
      <c r="N17" s="537"/>
      <c r="O17" s="537"/>
      <c r="P17" s="538"/>
    </row>
    <row r="18" spans="1:16" ht="13.5" thickBot="1">
      <c r="A18" s="204" t="s">
        <v>45</v>
      </c>
      <c r="B18" s="184" t="e">
        <f>(MAX(B13:B17)-MIN(B13:B17))/(MIN(B13:B17))</f>
        <v>#DIV/0!</v>
      </c>
      <c r="C18" s="183" t="e">
        <f>IF(B18&lt;=Tol_Homogenitet,"OK","FEJL")</f>
        <v>#DIV/0!</v>
      </c>
      <c r="E18" s="539"/>
      <c r="F18" s="540"/>
      <c r="G18" s="540"/>
      <c r="H18" s="540"/>
      <c r="I18" s="540"/>
      <c r="J18" s="540"/>
      <c r="K18" s="540"/>
      <c r="L18" s="540"/>
      <c r="M18" s="540"/>
      <c r="N18" s="540"/>
      <c r="O18" s="540"/>
      <c r="P18" s="541"/>
    </row>
    <row r="19" spans="1:16">
      <c r="A19" s="203" t="s">
        <v>164</v>
      </c>
      <c r="B19" s="205">
        <f>Tol_Homogenitet</f>
        <v>0.15</v>
      </c>
      <c r="F19" s="27"/>
    </row>
    <row r="20" spans="1:16" ht="13.5" thickBot="1"/>
    <row r="21" spans="1:16" ht="13.5" thickBot="1">
      <c r="A21" s="267" t="s">
        <v>48</v>
      </c>
      <c r="E21" s="253" t="s">
        <v>118</v>
      </c>
      <c r="F21" s="254"/>
      <c r="G21" s="254"/>
      <c r="H21" s="255"/>
      <c r="I21" s="36"/>
      <c r="J21" s="36"/>
      <c r="K21" s="36"/>
      <c r="L21" s="36"/>
      <c r="M21" s="36"/>
      <c r="N21" s="36"/>
      <c r="O21" s="36"/>
      <c r="P21" s="36"/>
    </row>
    <row r="22" spans="1:16">
      <c r="A22" s="202" t="s">
        <v>85</v>
      </c>
      <c r="B22" s="180"/>
      <c r="E22" s="525"/>
      <c r="F22" s="534"/>
      <c r="G22" s="534"/>
      <c r="H22" s="534"/>
      <c r="I22" s="534"/>
      <c r="J22" s="534"/>
      <c r="K22" s="534"/>
      <c r="L22" s="534"/>
      <c r="M22" s="534"/>
      <c r="N22" s="534"/>
      <c r="O22" s="534"/>
      <c r="P22" s="535"/>
    </row>
    <row r="23" spans="1:16">
      <c r="A23" s="202" t="s">
        <v>86</v>
      </c>
      <c r="B23" s="181"/>
      <c r="E23" s="536"/>
      <c r="F23" s="537"/>
      <c r="G23" s="537"/>
      <c r="H23" s="537"/>
      <c r="I23" s="537"/>
      <c r="J23" s="537"/>
      <c r="K23" s="537"/>
      <c r="L23" s="537"/>
      <c r="M23" s="537"/>
      <c r="N23" s="537"/>
      <c r="O23" s="537"/>
      <c r="P23" s="538"/>
    </row>
    <row r="24" spans="1:16">
      <c r="A24" s="202" t="s">
        <v>87</v>
      </c>
      <c r="B24" s="181"/>
      <c r="E24" s="536"/>
      <c r="F24" s="537"/>
      <c r="G24" s="537"/>
      <c r="H24" s="537"/>
      <c r="I24" s="537"/>
      <c r="J24" s="537"/>
      <c r="K24" s="537"/>
      <c r="L24" s="537"/>
      <c r="M24" s="537"/>
      <c r="N24" s="537"/>
      <c r="O24" s="537"/>
      <c r="P24" s="538"/>
    </row>
    <row r="25" spans="1:16">
      <c r="A25" s="202" t="s">
        <v>88</v>
      </c>
      <c r="B25" s="181"/>
      <c r="E25" s="536"/>
      <c r="F25" s="537"/>
      <c r="G25" s="537"/>
      <c r="H25" s="537"/>
      <c r="I25" s="537"/>
      <c r="J25" s="537"/>
      <c r="K25" s="537"/>
      <c r="L25" s="537"/>
      <c r="M25" s="537"/>
      <c r="N25" s="537"/>
      <c r="O25" s="537"/>
      <c r="P25" s="538"/>
    </row>
    <row r="26" spans="1:16">
      <c r="A26" s="203" t="s">
        <v>89</v>
      </c>
      <c r="B26" s="182"/>
      <c r="E26" s="536"/>
      <c r="F26" s="537"/>
      <c r="G26" s="537"/>
      <c r="H26" s="537"/>
      <c r="I26" s="537"/>
      <c r="J26" s="537"/>
      <c r="K26" s="537"/>
      <c r="L26" s="537"/>
      <c r="M26" s="537"/>
      <c r="N26" s="537"/>
      <c r="O26" s="537"/>
      <c r="P26" s="538"/>
    </row>
    <row r="27" spans="1:16" ht="13.5" thickBot="1">
      <c r="A27" s="204" t="s">
        <v>45</v>
      </c>
      <c r="B27" s="184" t="e">
        <f>(MAX(B22:B26)-MIN(B22:B26))/(MIN(B22:B26))</f>
        <v>#DIV/0!</v>
      </c>
      <c r="C27" s="183" t="e">
        <f>IF(B27&lt;=Tol_Homogenitet,"OK","FEJL")</f>
        <v>#DIV/0!</v>
      </c>
      <c r="E27" s="539"/>
      <c r="F27" s="540"/>
      <c r="G27" s="540"/>
      <c r="H27" s="540"/>
      <c r="I27" s="540"/>
      <c r="J27" s="540"/>
      <c r="K27" s="540"/>
      <c r="L27" s="540"/>
      <c r="M27" s="540"/>
      <c r="N27" s="540"/>
      <c r="O27" s="540"/>
      <c r="P27" s="541"/>
    </row>
    <row r="28" spans="1:16">
      <c r="A28" s="203" t="s">
        <v>164</v>
      </c>
      <c r="B28" s="205">
        <f>Tol_Homogenitet</f>
        <v>0.15</v>
      </c>
    </row>
  </sheetData>
  <mergeCells count="17">
    <mergeCell ref="A1:C3"/>
    <mergeCell ref="D1:L2"/>
    <mergeCell ref="M1:X2"/>
    <mergeCell ref="D3:L3"/>
    <mergeCell ref="M3:X3"/>
    <mergeCell ref="M6:O6"/>
    <mergeCell ref="P6:X6"/>
    <mergeCell ref="E22:P27"/>
    <mergeCell ref="A4:L4"/>
    <mergeCell ref="M4:O4"/>
    <mergeCell ref="P4:T4"/>
    <mergeCell ref="U4:V4"/>
    <mergeCell ref="W4:X4"/>
    <mergeCell ref="E13:P18"/>
    <mergeCell ref="A5:L6"/>
    <mergeCell ref="M5:O5"/>
    <mergeCell ref="P5:X5"/>
  </mergeCells>
  <phoneticPr fontId="9" type="noConversion"/>
  <conditionalFormatting sqref="C27 C18">
    <cfRule type="cellIs" dxfId="73" priority="15" stopIfTrue="1" operator="equal">
      <formula>"OK"</formula>
    </cfRule>
    <cfRule type="cellIs" dxfId="72" priority="16" stopIfTrue="1" operator="equal">
      <formula>"FEJL"</formula>
    </cfRule>
  </conditionalFormatting>
  <conditionalFormatting sqref="M3:X3">
    <cfRule type="expression" dxfId="71" priority="6" stopIfTrue="1">
      <formula>$M$1=""</formula>
    </cfRule>
  </conditionalFormatting>
  <conditionalFormatting sqref="M1:X2">
    <cfRule type="cellIs" dxfId="70" priority="7" stopIfTrue="1" operator="equal">
      <formula>""</formula>
    </cfRule>
  </conditionalFormatting>
  <conditionalFormatting sqref="A5:L6">
    <cfRule type="expression" dxfId="69" priority="3">
      <formula>$A$5=""</formula>
    </cfRule>
  </conditionalFormatting>
  <conditionalFormatting sqref="P4:T4">
    <cfRule type="expression" dxfId="68" priority="4" stopIfTrue="1">
      <formula>$P$4=""</formula>
    </cfRule>
  </conditionalFormatting>
  <conditionalFormatting sqref="W4:X4">
    <cfRule type="expression" dxfId="67" priority="5" stopIfTrue="1">
      <formula>$W$4=""</formula>
    </cfRule>
  </conditionalFormatting>
  <conditionalFormatting sqref="P5:X5">
    <cfRule type="expression" dxfId="66" priority="2">
      <formula>$P$5=""</formula>
    </cfRule>
  </conditionalFormatting>
  <conditionalFormatting sqref="P6">
    <cfRule type="expression" dxfId="65" priority="1">
      <formula>$P$6=""</formula>
    </cfRule>
  </conditionalFormatting>
  <pageMargins left="0.75" right="0.75" top="1" bottom="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4"/>
  <sheetViews>
    <sheetView topLeftCell="A11" workbookViewId="0">
      <selection activeCell="AD14" sqref="AD14"/>
    </sheetView>
  </sheetViews>
  <sheetFormatPr defaultColWidth="4.7109375" defaultRowHeight="12.75"/>
  <cols>
    <col min="1" max="1" width="37.42578125" customWidth="1"/>
    <col min="3" max="3" width="12" customWidth="1"/>
  </cols>
  <sheetData>
    <row r="1" spans="1:38" s="36" customFormat="1" ht="12.75" customHeight="1">
      <c r="A1" s="375" t="s">
        <v>126</v>
      </c>
      <c r="B1" s="376"/>
      <c r="C1" s="376"/>
      <c r="D1" s="381" t="s">
        <v>127</v>
      </c>
      <c r="E1" s="381"/>
      <c r="F1" s="381"/>
      <c r="G1" s="381"/>
      <c r="H1" s="381"/>
      <c r="I1" s="381"/>
      <c r="J1" s="381"/>
      <c r="K1" s="381"/>
      <c r="L1" s="382"/>
      <c r="M1" s="385" t="str">
        <f>IF(Oplysningsside!$I$14="","",Oplysningsside!$I$14)</f>
        <v/>
      </c>
      <c r="N1" s="386"/>
      <c r="O1" s="386"/>
      <c r="P1" s="386"/>
      <c r="Q1" s="386"/>
      <c r="R1" s="386"/>
      <c r="S1" s="386"/>
      <c r="T1" s="386"/>
      <c r="U1" s="386"/>
      <c r="V1" s="386"/>
      <c r="W1" s="386"/>
      <c r="X1" s="387"/>
    </row>
    <row r="2" spans="1:38" s="36" customFormat="1" ht="12.75" customHeight="1">
      <c r="A2" s="377"/>
      <c r="B2" s="378"/>
      <c r="C2" s="378"/>
      <c r="D2" s="383"/>
      <c r="E2" s="383"/>
      <c r="F2" s="383"/>
      <c r="G2" s="383"/>
      <c r="H2" s="383"/>
      <c r="I2" s="383"/>
      <c r="J2" s="383"/>
      <c r="K2" s="383"/>
      <c r="L2" s="384"/>
      <c r="M2" s="388"/>
      <c r="N2" s="389"/>
      <c r="O2" s="389"/>
      <c r="P2" s="389"/>
      <c r="Q2" s="389"/>
      <c r="R2" s="389"/>
      <c r="S2" s="389"/>
      <c r="T2" s="389"/>
      <c r="U2" s="389"/>
      <c r="V2" s="389"/>
      <c r="W2" s="389"/>
      <c r="X2" s="390"/>
    </row>
    <row r="3" spans="1:38" s="36" customFormat="1" ht="16.5" customHeight="1" thickBot="1">
      <c r="A3" s="379"/>
      <c r="B3" s="380"/>
      <c r="C3" s="380"/>
      <c r="D3" s="391" t="s">
        <v>128</v>
      </c>
      <c r="E3" s="391"/>
      <c r="F3" s="391"/>
      <c r="G3" s="391"/>
      <c r="H3" s="391"/>
      <c r="I3" s="391"/>
      <c r="J3" s="391"/>
      <c r="K3" s="391"/>
      <c r="L3" s="392"/>
      <c r="M3" s="393" t="str">
        <f>IF(Oplysningsside!$I$14="","","for diagnostiske monitorer")</f>
        <v/>
      </c>
      <c r="N3" s="394"/>
      <c r="O3" s="394"/>
      <c r="P3" s="394"/>
      <c r="Q3" s="394"/>
      <c r="R3" s="394"/>
      <c r="S3" s="394"/>
      <c r="T3" s="394"/>
      <c r="U3" s="394"/>
      <c r="V3" s="394"/>
      <c r="W3" s="394"/>
      <c r="X3" s="395"/>
    </row>
    <row r="4" spans="1:38" s="36" customFormat="1" ht="16.5" thickBot="1">
      <c r="A4" s="407" t="s">
        <v>50</v>
      </c>
      <c r="B4" s="408"/>
      <c r="C4" s="408"/>
      <c r="D4" s="408"/>
      <c r="E4" s="408"/>
      <c r="F4" s="408"/>
      <c r="G4" s="408"/>
      <c r="H4" s="408"/>
      <c r="I4" s="408"/>
      <c r="J4" s="408"/>
      <c r="K4" s="408"/>
      <c r="L4" s="409"/>
      <c r="M4" s="413" t="s">
        <v>69</v>
      </c>
      <c r="N4" s="414"/>
      <c r="O4" s="415"/>
      <c r="P4" s="416" t="str">
        <f>IF(Oplysningsside!$I$17="","",Oplysningsside!$I$17)</f>
        <v/>
      </c>
      <c r="Q4" s="416"/>
      <c r="R4" s="416"/>
      <c r="S4" s="416"/>
      <c r="T4" s="417"/>
      <c r="U4" s="515" t="s">
        <v>70</v>
      </c>
      <c r="V4" s="516"/>
      <c r="W4" s="517" t="str">
        <f>IF(Oplysningsside!$I$18="","",Oplysningsside!$I$18)</f>
        <v/>
      </c>
      <c r="X4" s="518"/>
    </row>
    <row r="5" spans="1:38" s="36" customFormat="1" ht="13.5" customHeight="1" thickBot="1">
      <c r="A5" s="396" t="str">
        <f>IF(Oplysningsside!$I$16="","",Oplysningsside!$I$16)</f>
        <v/>
      </c>
      <c r="B5" s="397"/>
      <c r="C5" s="397"/>
      <c r="D5" s="397"/>
      <c r="E5" s="397"/>
      <c r="F5" s="397"/>
      <c r="G5" s="397"/>
      <c r="H5" s="397"/>
      <c r="I5" s="397"/>
      <c r="J5" s="397"/>
      <c r="K5" s="397"/>
      <c r="L5" s="398"/>
      <c r="M5" s="410" t="s">
        <v>159</v>
      </c>
      <c r="N5" s="402"/>
      <c r="O5" s="403"/>
      <c r="P5" s="411" t="str">
        <f>IF(Oplysningsside!$R$27="","",Oplysningsside!$R$27)</f>
        <v/>
      </c>
      <c r="Q5" s="411"/>
      <c r="R5" s="411"/>
      <c r="S5" s="411"/>
      <c r="T5" s="411"/>
      <c r="U5" s="411"/>
      <c r="V5" s="411"/>
      <c r="W5" s="411"/>
      <c r="X5" s="412"/>
    </row>
    <row r="6" spans="1:38" s="36" customFormat="1" ht="13.5" customHeight="1" thickBot="1">
      <c r="A6" s="399"/>
      <c r="B6" s="400"/>
      <c r="C6" s="400"/>
      <c r="D6" s="400"/>
      <c r="E6" s="400"/>
      <c r="F6" s="400"/>
      <c r="G6" s="400"/>
      <c r="H6" s="400"/>
      <c r="I6" s="400"/>
      <c r="J6" s="400"/>
      <c r="K6" s="400"/>
      <c r="L6" s="401"/>
      <c r="M6" s="402" t="s">
        <v>129</v>
      </c>
      <c r="N6" s="402"/>
      <c r="O6" s="403"/>
      <c r="P6" s="404">
        <f>IF(Oplysningsside!$I$15="dd-mm-åå","",Oplysningsside!$I$15)</f>
        <v>0</v>
      </c>
      <c r="Q6" s="405"/>
      <c r="R6" s="405"/>
      <c r="S6" s="405"/>
      <c r="T6" s="405"/>
      <c r="U6" s="405"/>
      <c r="V6" s="405"/>
      <c r="W6" s="405"/>
      <c r="X6" s="406"/>
    </row>
    <row r="7" spans="1:38" ht="13.5" thickBot="1"/>
    <row r="8" spans="1:38" ht="23.25">
      <c r="A8" s="239" t="s">
        <v>53</v>
      </c>
      <c r="AK8" s="335"/>
      <c r="AL8" s="336"/>
    </row>
    <row r="9" spans="1:38">
      <c r="AK9" s="337" t="s">
        <v>101</v>
      </c>
      <c r="AL9" s="338"/>
    </row>
    <row r="10" spans="1:38" ht="13.5" thickBot="1">
      <c r="AK10" s="337" t="s">
        <v>260</v>
      </c>
      <c r="AL10" s="338"/>
    </row>
    <row r="11" spans="1:38" ht="13.5" thickBot="1">
      <c r="A11" s="266" t="s">
        <v>206</v>
      </c>
      <c r="AK11" s="339" t="s">
        <v>120</v>
      </c>
      <c r="AL11" s="340"/>
    </row>
    <row r="12" spans="1:38" s="36" customFormat="1"/>
    <row r="13" spans="1:38" ht="15.75">
      <c r="A13" s="238" t="s">
        <v>54</v>
      </c>
      <c r="B13" s="551" t="s">
        <v>119</v>
      </c>
      <c r="C13" s="551"/>
      <c r="D13" s="200" t="s">
        <v>60</v>
      </c>
      <c r="E13" s="200"/>
      <c r="F13" s="200"/>
      <c r="G13" s="200"/>
      <c r="H13" s="200"/>
      <c r="I13" s="200"/>
      <c r="J13" s="200"/>
      <c r="K13" s="200"/>
    </row>
    <row r="14" spans="1:38">
      <c r="A14" s="200" t="s">
        <v>55</v>
      </c>
      <c r="B14" s="341"/>
    </row>
    <row r="15" spans="1:38">
      <c r="A15" s="200" t="s">
        <v>56</v>
      </c>
      <c r="B15" s="341"/>
      <c r="C15" s="36"/>
      <c r="D15" s="36"/>
      <c r="E15" s="36"/>
      <c r="F15" s="36"/>
      <c r="G15" s="36"/>
      <c r="H15" s="36"/>
      <c r="I15" s="36"/>
      <c r="J15" s="36"/>
      <c r="K15" s="36"/>
      <c r="L15" s="36"/>
      <c r="M15" s="36"/>
    </row>
    <row r="16" spans="1:38">
      <c r="A16" s="200" t="s">
        <v>59</v>
      </c>
      <c r="B16" s="341"/>
      <c r="C16" s="36"/>
      <c r="D16" s="36"/>
      <c r="E16" s="36"/>
      <c r="F16" s="36"/>
      <c r="G16" s="36"/>
      <c r="H16" s="36"/>
      <c r="I16" s="36"/>
      <c r="J16" s="36"/>
      <c r="K16" s="36"/>
      <c r="L16" s="36"/>
      <c r="M16" s="36"/>
    </row>
    <row r="17" spans="1:13">
      <c r="A17" s="36"/>
      <c r="B17" s="36"/>
      <c r="C17" s="36"/>
      <c r="D17" s="36"/>
      <c r="E17" s="36"/>
      <c r="F17" s="36"/>
      <c r="G17" s="36"/>
      <c r="H17" s="36"/>
      <c r="I17" s="36"/>
      <c r="J17" s="36"/>
      <c r="K17" s="36"/>
      <c r="L17" s="36"/>
      <c r="M17" s="36"/>
    </row>
    <row r="18" spans="1:13" ht="15.75">
      <c r="A18" s="238" t="s">
        <v>57</v>
      </c>
      <c r="B18" s="341"/>
      <c r="C18" s="36"/>
      <c r="D18" s="36"/>
      <c r="E18" s="36"/>
      <c r="F18" s="36"/>
      <c r="G18" s="36"/>
      <c r="H18" s="36"/>
      <c r="I18" s="36"/>
      <c r="J18" s="36"/>
      <c r="K18" s="36"/>
      <c r="L18" s="36"/>
      <c r="M18" s="36"/>
    </row>
    <row r="19" spans="1:13">
      <c r="A19" s="36"/>
      <c r="B19" s="36"/>
      <c r="C19" s="36"/>
      <c r="D19" s="36"/>
      <c r="E19" s="36"/>
      <c r="F19" s="36"/>
      <c r="G19" s="36"/>
      <c r="H19" s="36"/>
      <c r="I19" s="36"/>
      <c r="J19" s="36"/>
      <c r="K19" s="36"/>
      <c r="L19" s="36"/>
      <c r="M19" s="36"/>
    </row>
    <row r="20" spans="1:13" ht="13.5" thickBot="1">
      <c r="A20" s="199" t="s">
        <v>118</v>
      </c>
      <c r="B20" s="36"/>
      <c r="C20" s="36"/>
      <c r="D20" s="36"/>
      <c r="E20" s="36"/>
      <c r="F20" s="36"/>
      <c r="G20" s="36"/>
      <c r="H20" s="36"/>
      <c r="I20" s="36"/>
      <c r="J20" s="36"/>
      <c r="K20" s="36"/>
      <c r="L20" s="36"/>
      <c r="M20" s="36"/>
    </row>
    <row r="21" spans="1:13">
      <c r="A21" s="525"/>
      <c r="B21" s="526"/>
      <c r="C21" s="526"/>
      <c r="D21" s="526"/>
      <c r="E21" s="526"/>
      <c r="F21" s="526"/>
      <c r="G21" s="526"/>
      <c r="H21" s="526"/>
      <c r="I21" s="526"/>
      <c r="J21" s="526"/>
      <c r="K21" s="526"/>
      <c r="L21" s="527"/>
      <c r="M21" s="36"/>
    </row>
    <row r="22" spans="1:13">
      <c r="A22" s="528"/>
      <c r="B22" s="529"/>
      <c r="C22" s="529"/>
      <c r="D22" s="529"/>
      <c r="E22" s="529"/>
      <c r="F22" s="529"/>
      <c r="G22" s="529"/>
      <c r="H22" s="529"/>
      <c r="I22" s="529"/>
      <c r="J22" s="529"/>
      <c r="K22" s="529"/>
      <c r="L22" s="530"/>
      <c r="M22" s="36"/>
    </row>
    <row r="23" spans="1:13">
      <c r="A23" s="528"/>
      <c r="B23" s="529"/>
      <c r="C23" s="529"/>
      <c r="D23" s="529"/>
      <c r="E23" s="529"/>
      <c r="F23" s="529"/>
      <c r="G23" s="529"/>
      <c r="H23" s="529"/>
      <c r="I23" s="529"/>
      <c r="J23" s="529"/>
      <c r="K23" s="529"/>
      <c r="L23" s="530"/>
      <c r="M23" s="36"/>
    </row>
    <row r="24" spans="1:13">
      <c r="A24" s="528"/>
      <c r="B24" s="529"/>
      <c r="C24" s="529"/>
      <c r="D24" s="529"/>
      <c r="E24" s="529"/>
      <c r="F24" s="529"/>
      <c r="G24" s="529"/>
      <c r="H24" s="529"/>
      <c r="I24" s="529"/>
      <c r="J24" s="529"/>
      <c r="K24" s="529"/>
      <c r="L24" s="530"/>
      <c r="M24" s="36"/>
    </row>
    <row r="25" spans="1:13">
      <c r="A25" s="528"/>
      <c r="B25" s="529"/>
      <c r="C25" s="529"/>
      <c r="D25" s="529"/>
      <c r="E25" s="529"/>
      <c r="F25" s="529"/>
      <c r="G25" s="529"/>
      <c r="H25" s="529"/>
      <c r="I25" s="529"/>
      <c r="J25" s="529"/>
      <c r="K25" s="529"/>
      <c r="L25" s="530"/>
      <c r="M25" s="36"/>
    </row>
    <row r="26" spans="1:13" ht="13.5" thickBot="1">
      <c r="A26" s="531"/>
      <c r="B26" s="532"/>
      <c r="C26" s="532"/>
      <c r="D26" s="532"/>
      <c r="E26" s="532"/>
      <c r="F26" s="532"/>
      <c r="G26" s="532"/>
      <c r="H26" s="532"/>
      <c r="I26" s="532"/>
      <c r="J26" s="532"/>
      <c r="K26" s="532"/>
      <c r="L26" s="533"/>
      <c r="M26" s="36"/>
    </row>
    <row r="27" spans="1:13" s="36" customFormat="1"/>
    <row r="28" spans="1:13" s="36" customFormat="1" ht="13.5" thickBot="1"/>
    <row r="29" spans="1:13" s="36" customFormat="1" ht="13.5" thickBot="1">
      <c r="A29" s="266" t="s">
        <v>207</v>
      </c>
    </row>
    <row r="30" spans="1:13">
      <c r="A30" s="36"/>
      <c r="B30" s="36"/>
      <c r="C30" s="36"/>
      <c r="D30" s="36"/>
      <c r="E30" s="36"/>
      <c r="F30" s="36"/>
      <c r="G30" s="36"/>
      <c r="H30" s="36"/>
      <c r="I30" s="36"/>
      <c r="J30" s="36"/>
      <c r="K30" s="36"/>
      <c r="L30" s="36"/>
      <c r="M30" s="36"/>
    </row>
    <row r="31" spans="1:13" ht="15.75">
      <c r="A31" s="238" t="s">
        <v>54</v>
      </c>
      <c r="B31" s="551" t="s">
        <v>119</v>
      </c>
      <c r="C31" s="551"/>
      <c r="D31" s="200" t="s">
        <v>60</v>
      </c>
      <c r="E31" s="200"/>
      <c r="F31" s="200"/>
      <c r="G31" s="200"/>
      <c r="H31" s="200"/>
      <c r="I31" s="200"/>
      <c r="J31" s="200"/>
      <c r="K31" s="200"/>
      <c r="L31" s="36"/>
      <c r="M31" s="36"/>
    </row>
    <row r="32" spans="1:13">
      <c r="A32" s="200" t="s">
        <v>55</v>
      </c>
      <c r="B32" s="341"/>
      <c r="C32" s="36"/>
      <c r="D32" s="36"/>
      <c r="E32" s="36"/>
      <c r="F32" s="36"/>
      <c r="G32" s="36"/>
      <c r="H32" s="36"/>
      <c r="I32" s="36"/>
      <c r="J32" s="36"/>
      <c r="K32" s="36"/>
      <c r="L32" s="36"/>
      <c r="M32" s="36"/>
    </row>
    <row r="33" spans="1:13">
      <c r="A33" s="200" t="s">
        <v>56</v>
      </c>
      <c r="B33" s="341"/>
      <c r="C33" s="36"/>
      <c r="D33" s="36"/>
      <c r="E33" s="36"/>
      <c r="F33" s="36"/>
      <c r="G33" s="36"/>
      <c r="H33" s="36"/>
      <c r="I33" s="36"/>
      <c r="J33" s="36"/>
      <c r="K33" s="36"/>
      <c r="L33" s="36"/>
      <c r="M33" s="36"/>
    </row>
    <row r="34" spans="1:13">
      <c r="A34" s="200" t="s">
        <v>59</v>
      </c>
      <c r="B34" s="341"/>
      <c r="C34" s="36"/>
      <c r="D34" s="36"/>
      <c r="E34" s="36"/>
      <c r="F34" s="36"/>
      <c r="G34" s="36"/>
      <c r="H34" s="36"/>
      <c r="I34" s="36"/>
      <c r="J34" s="36"/>
      <c r="K34" s="36"/>
      <c r="L34" s="36"/>
      <c r="M34" s="36"/>
    </row>
    <row r="35" spans="1:13">
      <c r="A35" s="36"/>
      <c r="B35" s="36"/>
      <c r="C35" s="36"/>
      <c r="D35" s="36"/>
      <c r="E35" s="36"/>
      <c r="F35" s="36"/>
      <c r="G35" s="36"/>
      <c r="H35" s="36"/>
      <c r="I35" s="36"/>
      <c r="J35" s="36"/>
      <c r="K35" s="36"/>
      <c r="L35" s="36"/>
      <c r="M35" s="36"/>
    </row>
    <row r="36" spans="1:13" ht="15.75">
      <c r="A36" s="238" t="s">
        <v>57</v>
      </c>
      <c r="B36" s="341"/>
      <c r="C36" s="36"/>
      <c r="D36" s="36"/>
      <c r="E36" s="36"/>
      <c r="F36" s="36"/>
      <c r="G36" s="36"/>
      <c r="H36" s="36"/>
      <c r="I36" s="36"/>
      <c r="J36" s="36"/>
      <c r="K36" s="36"/>
      <c r="L36" s="36"/>
      <c r="M36" s="36"/>
    </row>
    <row r="37" spans="1:13">
      <c r="A37" s="36"/>
      <c r="B37" s="36"/>
      <c r="C37" s="36"/>
      <c r="D37" s="36"/>
      <c r="E37" s="36"/>
      <c r="F37" s="36"/>
      <c r="G37" s="36"/>
      <c r="H37" s="36"/>
      <c r="I37" s="36"/>
      <c r="J37" s="36"/>
      <c r="K37" s="36"/>
      <c r="L37" s="36"/>
      <c r="M37" s="36"/>
    </row>
    <row r="38" spans="1:13" ht="13.5" thickBot="1">
      <c r="A38" s="199" t="s">
        <v>118</v>
      </c>
      <c r="B38" s="36"/>
      <c r="C38" s="36"/>
      <c r="D38" s="36"/>
      <c r="E38" s="36"/>
      <c r="F38" s="36"/>
      <c r="G38" s="36"/>
      <c r="H38" s="36"/>
      <c r="I38" s="36"/>
      <c r="J38" s="36"/>
      <c r="K38" s="36"/>
      <c r="L38" s="36"/>
      <c r="M38" s="36"/>
    </row>
    <row r="39" spans="1:13">
      <c r="A39" s="525"/>
      <c r="B39" s="526"/>
      <c r="C39" s="526"/>
      <c r="D39" s="526"/>
      <c r="E39" s="526"/>
      <c r="F39" s="526"/>
      <c r="G39" s="526"/>
      <c r="H39" s="526"/>
      <c r="I39" s="526"/>
      <c r="J39" s="526"/>
      <c r="K39" s="526"/>
      <c r="L39" s="527"/>
      <c r="M39" s="36"/>
    </row>
    <row r="40" spans="1:13">
      <c r="A40" s="528"/>
      <c r="B40" s="529"/>
      <c r="C40" s="529"/>
      <c r="D40" s="529"/>
      <c r="E40" s="529"/>
      <c r="F40" s="529"/>
      <c r="G40" s="529"/>
      <c r="H40" s="529"/>
      <c r="I40" s="529"/>
      <c r="J40" s="529"/>
      <c r="K40" s="529"/>
      <c r="L40" s="530"/>
      <c r="M40" s="36"/>
    </row>
    <row r="41" spans="1:13">
      <c r="A41" s="528"/>
      <c r="B41" s="529"/>
      <c r="C41" s="529"/>
      <c r="D41" s="529"/>
      <c r="E41" s="529"/>
      <c r="F41" s="529"/>
      <c r="G41" s="529"/>
      <c r="H41" s="529"/>
      <c r="I41" s="529"/>
      <c r="J41" s="529"/>
      <c r="K41" s="529"/>
      <c r="L41" s="530"/>
      <c r="M41" s="36"/>
    </row>
    <row r="42" spans="1:13">
      <c r="A42" s="528"/>
      <c r="B42" s="529"/>
      <c r="C42" s="529"/>
      <c r="D42" s="529"/>
      <c r="E42" s="529"/>
      <c r="F42" s="529"/>
      <c r="G42" s="529"/>
      <c r="H42" s="529"/>
      <c r="I42" s="529"/>
      <c r="J42" s="529"/>
      <c r="K42" s="529"/>
      <c r="L42" s="530"/>
      <c r="M42" s="36"/>
    </row>
    <row r="43" spans="1:13">
      <c r="A43" s="528"/>
      <c r="B43" s="529"/>
      <c r="C43" s="529"/>
      <c r="D43" s="529"/>
      <c r="E43" s="529"/>
      <c r="F43" s="529"/>
      <c r="G43" s="529"/>
      <c r="H43" s="529"/>
      <c r="I43" s="529"/>
      <c r="J43" s="529"/>
      <c r="K43" s="529"/>
      <c r="L43" s="530"/>
      <c r="M43" s="36"/>
    </row>
    <row r="44" spans="1:13" ht="13.5" thickBot="1">
      <c r="A44" s="531"/>
      <c r="B44" s="532"/>
      <c r="C44" s="532"/>
      <c r="D44" s="532"/>
      <c r="E44" s="532"/>
      <c r="F44" s="532"/>
      <c r="G44" s="532"/>
      <c r="H44" s="532"/>
      <c r="I44" s="532"/>
      <c r="J44" s="532"/>
      <c r="K44" s="532"/>
      <c r="L44" s="533"/>
      <c r="M44" s="36"/>
    </row>
  </sheetData>
  <dataConsolidate/>
  <mergeCells count="19">
    <mergeCell ref="P6:X6"/>
    <mergeCell ref="A21:L26"/>
    <mergeCell ref="A39:L44"/>
    <mergeCell ref="A4:L4"/>
    <mergeCell ref="M4:O4"/>
    <mergeCell ref="P4:T4"/>
    <mergeCell ref="U4:V4"/>
    <mergeCell ref="W4:X4"/>
    <mergeCell ref="A5:L6"/>
    <mergeCell ref="M5:O5"/>
    <mergeCell ref="P5:X5"/>
    <mergeCell ref="M6:O6"/>
    <mergeCell ref="B13:C13"/>
    <mergeCell ref="B31:C31"/>
    <mergeCell ref="A1:C3"/>
    <mergeCell ref="D1:L2"/>
    <mergeCell ref="M1:X2"/>
    <mergeCell ref="D3:L3"/>
    <mergeCell ref="M3:X3"/>
  </mergeCells>
  <phoneticPr fontId="9" type="noConversion"/>
  <conditionalFormatting sqref="B14:B16 B18">
    <cfRule type="cellIs" dxfId="64" priority="38" operator="equal">
      <formula>"Ikke testet"</formula>
    </cfRule>
    <cfRule type="cellIs" dxfId="63" priority="39" operator="equal">
      <formula>"Ikke OK!"</formula>
    </cfRule>
    <cfRule type="cellIs" dxfId="62" priority="40" operator="equal">
      <formula>"OK"</formula>
    </cfRule>
  </conditionalFormatting>
  <conditionalFormatting sqref="M3:X3">
    <cfRule type="expression" dxfId="61" priority="27" stopIfTrue="1">
      <formula>$M$1=""</formula>
    </cfRule>
  </conditionalFormatting>
  <conditionalFormatting sqref="M1:X2">
    <cfRule type="cellIs" dxfId="60" priority="28" stopIfTrue="1" operator="equal">
      <formula>""</formula>
    </cfRule>
  </conditionalFormatting>
  <conditionalFormatting sqref="A5:L6">
    <cfRule type="expression" dxfId="59" priority="24">
      <formula>$A$5=""</formula>
    </cfRule>
  </conditionalFormatting>
  <conditionalFormatting sqref="P4:T4">
    <cfRule type="expression" dxfId="58" priority="25" stopIfTrue="1">
      <formula>$P$4=""</formula>
    </cfRule>
  </conditionalFormatting>
  <conditionalFormatting sqref="W4:X4">
    <cfRule type="expression" dxfId="57" priority="26" stopIfTrue="1">
      <formula>$W$4=""</formula>
    </cfRule>
  </conditionalFormatting>
  <conditionalFormatting sqref="P5:X5">
    <cfRule type="expression" dxfId="56" priority="23">
      <formula>$P$5=""</formula>
    </cfRule>
  </conditionalFormatting>
  <conditionalFormatting sqref="P6">
    <cfRule type="expression" dxfId="55" priority="22">
      <formula>$P$6=""</formula>
    </cfRule>
  </conditionalFormatting>
  <conditionalFormatting sqref="B32:B34 B36">
    <cfRule type="cellIs" dxfId="54" priority="1" operator="equal">
      <formula>"Ikke testet"</formula>
    </cfRule>
    <cfRule type="cellIs" dxfId="53" priority="2" operator="equal">
      <formula>"Ikke OK!"</formula>
    </cfRule>
    <cfRule type="cellIs" dxfId="52" priority="3" operator="equal">
      <formula>"OK"</formula>
    </cfRule>
  </conditionalFormatting>
  <dataValidations count="1">
    <dataValidation type="list" showInputMessage="1" showErrorMessage="1" sqref="B14:B16 B18 B36 B32:B34">
      <formula1>$AK$8:$AK$11</formula1>
    </dataValidation>
  </dataValidations>
  <pageMargins left="0.75" right="0.75" top="1" bottom="1" header="0" footer="0"/>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6"/>
  <sheetViews>
    <sheetView topLeftCell="A24" workbookViewId="0">
      <selection activeCell="AB46" sqref="AB46"/>
    </sheetView>
  </sheetViews>
  <sheetFormatPr defaultColWidth="4.7109375" defaultRowHeight="12.75"/>
  <cols>
    <col min="25" max="25" width="13.42578125" bestFit="1" customWidth="1"/>
  </cols>
  <sheetData>
    <row r="1" spans="1:24" ht="12.75" customHeight="1">
      <c r="A1" s="375" t="s">
        <v>126</v>
      </c>
      <c r="B1" s="376"/>
      <c r="C1" s="376"/>
      <c r="D1" s="381" t="s">
        <v>127</v>
      </c>
      <c r="E1" s="381"/>
      <c r="F1" s="381"/>
      <c r="G1" s="381"/>
      <c r="H1" s="381"/>
      <c r="I1" s="381"/>
      <c r="J1" s="381"/>
      <c r="K1" s="381"/>
      <c r="L1" s="382"/>
      <c r="M1" s="385" t="str">
        <f>IF(Oplysningsside!$I$14="","",Oplysningsside!$I$14)</f>
        <v/>
      </c>
      <c r="N1" s="386"/>
      <c r="O1" s="386"/>
      <c r="P1" s="386"/>
      <c r="Q1" s="386"/>
      <c r="R1" s="386"/>
      <c r="S1" s="386"/>
      <c r="T1" s="386"/>
      <c r="U1" s="386"/>
      <c r="V1" s="386"/>
      <c r="W1" s="386"/>
      <c r="X1" s="387"/>
    </row>
    <row r="2" spans="1:24" ht="12.75" customHeight="1">
      <c r="A2" s="377"/>
      <c r="B2" s="378"/>
      <c r="C2" s="378"/>
      <c r="D2" s="383"/>
      <c r="E2" s="383"/>
      <c r="F2" s="383"/>
      <c r="G2" s="383"/>
      <c r="H2" s="383"/>
      <c r="I2" s="383"/>
      <c r="J2" s="383"/>
      <c r="K2" s="383"/>
      <c r="L2" s="384"/>
      <c r="M2" s="388"/>
      <c r="N2" s="389"/>
      <c r="O2" s="389"/>
      <c r="P2" s="389"/>
      <c r="Q2" s="389"/>
      <c r="R2" s="389"/>
      <c r="S2" s="389"/>
      <c r="T2" s="389"/>
      <c r="U2" s="389"/>
      <c r="V2" s="389"/>
      <c r="W2" s="389"/>
      <c r="X2" s="390"/>
    </row>
    <row r="3" spans="1:24" ht="16.5" customHeight="1" thickBot="1">
      <c r="A3" s="379"/>
      <c r="B3" s="380"/>
      <c r="C3" s="380"/>
      <c r="D3" s="391" t="s">
        <v>128</v>
      </c>
      <c r="E3" s="391"/>
      <c r="F3" s="391"/>
      <c r="G3" s="391"/>
      <c r="H3" s="391"/>
      <c r="I3" s="391"/>
      <c r="J3" s="391"/>
      <c r="K3" s="391"/>
      <c r="L3" s="392"/>
      <c r="M3" s="393" t="str">
        <f>IF(Oplysningsside!$I$14="","","for diagnostiske monitorer")</f>
        <v/>
      </c>
      <c r="N3" s="394"/>
      <c r="O3" s="394"/>
      <c r="P3" s="394"/>
      <c r="Q3" s="394"/>
      <c r="R3" s="394"/>
      <c r="S3" s="394"/>
      <c r="T3" s="394"/>
      <c r="U3" s="394"/>
      <c r="V3" s="394"/>
      <c r="W3" s="394"/>
      <c r="X3" s="395"/>
    </row>
    <row r="4" spans="1:24" ht="16.5" thickBot="1">
      <c r="A4" s="407" t="s">
        <v>50</v>
      </c>
      <c r="B4" s="408"/>
      <c r="C4" s="408"/>
      <c r="D4" s="408"/>
      <c r="E4" s="408"/>
      <c r="F4" s="408"/>
      <c r="G4" s="408"/>
      <c r="H4" s="408"/>
      <c r="I4" s="408"/>
      <c r="J4" s="408"/>
      <c r="K4" s="408"/>
      <c r="L4" s="409"/>
      <c r="M4" s="413" t="s">
        <v>69</v>
      </c>
      <c r="N4" s="414"/>
      <c r="O4" s="415"/>
      <c r="P4" s="416" t="str">
        <f>IF(Oplysningsside!$I$17="","",Oplysningsside!$I$17)</f>
        <v/>
      </c>
      <c r="Q4" s="416"/>
      <c r="R4" s="416"/>
      <c r="S4" s="416"/>
      <c r="T4" s="417"/>
      <c r="U4" s="515" t="s">
        <v>70</v>
      </c>
      <c r="V4" s="516"/>
      <c r="W4" s="517" t="str">
        <f>IF(Oplysningsside!$I$18="","",Oplysningsside!$I$18)</f>
        <v/>
      </c>
      <c r="X4" s="518"/>
    </row>
    <row r="5" spans="1:24" ht="13.5" customHeight="1" thickBot="1">
      <c r="A5" s="396" t="str">
        <f>IF(Oplysningsside!$I$16="","",Oplysningsside!$I$16)</f>
        <v/>
      </c>
      <c r="B5" s="397"/>
      <c r="C5" s="397"/>
      <c r="D5" s="397"/>
      <c r="E5" s="397"/>
      <c r="F5" s="397"/>
      <c r="G5" s="397"/>
      <c r="H5" s="397"/>
      <c r="I5" s="397"/>
      <c r="J5" s="397"/>
      <c r="K5" s="397"/>
      <c r="L5" s="398"/>
      <c r="M5" s="410" t="s">
        <v>159</v>
      </c>
      <c r="N5" s="402"/>
      <c r="O5" s="403"/>
      <c r="P5" s="411" t="str">
        <f>IF(Oplysningsside!$R$27="","",Oplysningsside!$R$27)</f>
        <v/>
      </c>
      <c r="Q5" s="411"/>
      <c r="R5" s="411"/>
      <c r="S5" s="411"/>
      <c r="T5" s="411"/>
      <c r="U5" s="411"/>
      <c r="V5" s="411"/>
      <c r="W5" s="411"/>
      <c r="X5" s="412"/>
    </row>
    <row r="6" spans="1:24" ht="13.5" customHeight="1" thickBot="1">
      <c r="A6" s="399"/>
      <c r="B6" s="400"/>
      <c r="C6" s="400"/>
      <c r="D6" s="400"/>
      <c r="E6" s="400"/>
      <c r="F6" s="400"/>
      <c r="G6" s="400"/>
      <c r="H6" s="400"/>
      <c r="I6" s="400"/>
      <c r="J6" s="400"/>
      <c r="K6" s="400"/>
      <c r="L6" s="401"/>
      <c r="M6" s="402" t="s">
        <v>129</v>
      </c>
      <c r="N6" s="402"/>
      <c r="O6" s="403"/>
      <c r="P6" s="404">
        <f>IF(Oplysningsside!$I$15="dd-mm-åå","",Oplysningsside!$I$15)</f>
        <v>0</v>
      </c>
      <c r="Q6" s="405"/>
      <c r="R6" s="405"/>
      <c r="S6" s="405"/>
      <c r="T6" s="405"/>
      <c r="U6" s="405"/>
      <c r="V6" s="405"/>
      <c r="W6" s="405"/>
      <c r="X6" s="406"/>
    </row>
    <row r="9" spans="1:24">
      <c r="K9" s="200" t="s">
        <v>229</v>
      </c>
      <c r="L9" s="200"/>
    </row>
    <row r="11" spans="1:24">
      <c r="B11" s="237"/>
      <c r="C11" s="27"/>
      <c r="D11" s="27"/>
      <c r="N11" s="36"/>
    </row>
    <row r="13" spans="1:24">
      <c r="K13" s="36"/>
      <c r="L13" s="36"/>
      <c r="M13" s="36"/>
      <c r="N13" s="36"/>
      <c r="O13" s="36"/>
      <c r="P13" s="36"/>
      <c r="Q13" s="36"/>
      <c r="R13" s="36"/>
    </row>
    <row r="14" spans="1:24">
      <c r="K14" s="36"/>
      <c r="L14" s="36"/>
      <c r="M14" s="36"/>
      <c r="N14" s="36"/>
      <c r="O14" s="36"/>
      <c r="P14" s="36"/>
    </row>
    <row r="15" spans="1:24">
      <c r="K15" s="36"/>
      <c r="L15" s="36"/>
      <c r="M15" s="36"/>
      <c r="N15" s="36"/>
      <c r="O15" s="36"/>
      <c r="P15" s="36"/>
    </row>
    <row r="16" spans="1:24">
      <c r="K16" s="36"/>
      <c r="L16" s="36"/>
      <c r="M16" s="36"/>
      <c r="N16" s="36"/>
      <c r="O16" s="36"/>
      <c r="P16" s="36"/>
    </row>
    <row r="18" spans="1:31" s="36" customFormat="1"/>
    <row r="19" spans="1:31" s="36" customFormat="1"/>
    <row r="20" spans="1:31" s="36" customFormat="1"/>
    <row r="21" spans="1:31" s="36" customFormat="1">
      <c r="J21" s="199" t="s">
        <v>196</v>
      </c>
      <c r="K21" s="200"/>
      <c r="L21" s="200"/>
      <c r="M21" s="200"/>
    </row>
    <row r="22" spans="1:31" s="36" customFormat="1"/>
    <row r="23" spans="1:31" s="36" customFormat="1" ht="13.5" thickBot="1"/>
    <row r="24" spans="1:31" ht="13.5" thickBot="1">
      <c r="B24" s="268" t="s">
        <v>206</v>
      </c>
      <c r="C24" s="255"/>
      <c r="Y24" s="281" t="s">
        <v>119</v>
      </c>
      <c r="Z24" s="36"/>
      <c r="AA24" s="36"/>
      <c r="AB24" s="36"/>
      <c r="AC24" s="36"/>
      <c r="AD24" s="36"/>
      <c r="AE24" s="36"/>
    </row>
    <row r="25" spans="1:31" ht="15">
      <c r="A25" s="185"/>
      <c r="B25" s="202" t="s">
        <v>249</v>
      </c>
      <c r="C25" s="208"/>
      <c r="D25" s="206"/>
      <c r="E25" s="206"/>
      <c r="F25" s="206"/>
      <c r="G25" s="206"/>
      <c r="H25" s="206"/>
      <c r="I25" s="206"/>
      <c r="J25" s="206"/>
      <c r="K25" s="206"/>
      <c r="L25" s="206"/>
      <c r="M25" s="206"/>
      <c r="N25" s="206"/>
      <c r="O25" s="206"/>
      <c r="P25" s="206"/>
      <c r="Q25" s="206"/>
      <c r="R25" s="206"/>
      <c r="S25" s="206"/>
      <c r="T25" s="206"/>
      <c r="U25" s="206"/>
      <c r="V25" s="206"/>
      <c r="W25" s="206"/>
      <c r="X25" s="207"/>
      <c r="Y25" s="341"/>
      <c r="Z25" s="36"/>
      <c r="AA25" s="36"/>
      <c r="AB25" s="36"/>
      <c r="AC25" s="36"/>
      <c r="AD25" s="36"/>
      <c r="AE25" s="36"/>
    </row>
    <row r="26" spans="1:31" ht="15">
      <c r="A26" s="185"/>
      <c r="B26" s="202" t="s">
        <v>250</v>
      </c>
      <c r="C26" s="208"/>
      <c r="D26" s="208"/>
      <c r="E26" s="208"/>
      <c r="F26" s="208"/>
      <c r="G26" s="208"/>
      <c r="H26" s="208"/>
      <c r="I26" s="208"/>
      <c r="J26" s="208"/>
      <c r="K26" s="208"/>
      <c r="L26" s="208"/>
      <c r="M26" s="208"/>
      <c r="N26" s="208"/>
      <c r="O26" s="208"/>
      <c r="P26" s="208"/>
      <c r="Q26" s="208"/>
      <c r="R26" s="208"/>
      <c r="S26" s="208"/>
      <c r="T26" s="208"/>
      <c r="U26" s="208"/>
      <c r="V26" s="208"/>
      <c r="W26" s="208"/>
      <c r="X26" s="209"/>
      <c r="Y26" s="341"/>
      <c r="Z26" s="36"/>
      <c r="AA26" s="36"/>
      <c r="AB26" s="36"/>
      <c r="AC26" s="36"/>
      <c r="AD26" s="36"/>
      <c r="AE26" s="36"/>
    </row>
    <row r="27" spans="1:31" ht="15">
      <c r="A27" s="185"/>
      <c r="B27" s="202" t="s">
        <v>251</v>
      </c>
      <c r="C27" s="208"/>
      <c r="D27" s="208"/>
      <c r="E27" s="208"/>
      <c r="F27" s="208"/>
      <c r="G27" s="208"/>
      <c r="H27" s="208"/>
      <c r="I27" s="208"/>
      <c r="J27" s="208"/>
      <c r="K27" s="208"/>
      <c r="L27" s="208"/>
      <c r="M27" s="208"/>
      <c r="N27" s="208"/>
      <c r="O27" s="208"/>
      <c r="P27" s="208"/>
      <c r="Q27" s="208"/>
      <c r="R27" s="208"/>
      <c r="S27" s="208"/>
      <c r="T27" s="208"/>
      <c r="U27" s="208"/>
      <c r="V27" s="208"/>
      <c r="W27" s="208"/>
      <c r="X27" s="209"/>
      <c r="Y27" s="341"/>
    </row>
    <row r="28" spans="1:31" ht="15">
      <c r="A28" s="185"/>
      <c r="B28" s="202" t="s">
        <v>252</v>
      </c>
      <c r="C28" s="208"/>
      <c r="D28" s="208"/>
      <c r="E28" s="208"/>
      <c r="F28" s="208"/>
      <c r="G28" s="208"/>
      <c r="H28" s="208"/>
      <c r="I28" s="208"/>
      <c r="J28" s="208"/>
      <c r="K28" s="208"/>
      <c r="L28" s="208"/>
      <c r="M28" s="208"/>
      <c r="N28" s="208"/>
      <c r="O28" s="208"/>
      <c r="P28" s="208"/>
      <c r="Q28" s="208"/>
      <c r="R28" s="208"/>
      <c r="S28" s="208"/>
      <c r="T28" s="208"/>
      <c r="U28" s="208"/>
      <c r="V28" s="208"/>
      <c r="W28" s="208"/>
      <c r="X28" s="209"/>
      <c r="Y28" s="341"/>
    </row>
    <row r="29" spans="1:31" ht="15">
      <c r="A29" s="185"/>
      <c r="B29" s="202" t="s">
        <v>253</v>
      </c>
      <c r="C29" s="208"/>
      <c r="D29" s="208"/>
      <c r="E29" s="208"/>
      <c r="F29" s="208"/>
      <c r="G29" s="208"/>
      <c r="H29" s="208"/>
      <c r="I29" s="208"/>
      <c r="J29" s="208"/>
      <c r="K29" s="208"/>
      <c r="L29" s="208"/>
      <c r="M29" s="208"/>
      <c r="N29" s="208"/>
      <c r="O29" s="208"/>
      <c r="P29" s="208"/>
      <c r="Q29" s="208"/>
      <c r="R29" s="208"/>
      <c r="S29" s="208"/>
      <c r="T29" s="208"/>
      <c r="U29" s="208"/>
      <c r="V29" s="208"/>
      <c r="W29" s="208"/>
      <c r="X29" s="209"/>
      <c r="Y29" s="341"/>
    </row>
    <row r="30" spans="1:31" ht="15">
      <c r="A30" s="185"/>
      <c r="B30" s="202" t="s">
        <v>254</v>
      </c>
      <c r="C30" s="208"/>
      <c r="D30" s="208"/>
      <c r="E30" s="208"/>
      <c r="F30" s="208"/>
      <c r="G30" s="208"/>
      <c r="H30" s="208"/>
      <c r="I30" s="208"/>
      <c r="J30" s="208"/>
      <c r="K30" s="208"/>
      <c r="L30" s="208"/>
      <c r="M30" s="208"/>
      <c r="N30" s="208"/>
      <c r="O30" s="208"/>
      <c r="P30" s="208"/>
      <c r="Q30" s="208"/>
      <c r="R30" s="208"/>
      <c r="S30" s="208"/>
      <c r="T30" s="208"/>
      <c r="U30" s="208"/>
      <c r="V30" s="208"/>
      <c r="W30" s="208"/>
      <c r="X30" s="209"/>
      <c r="Y30" s="341"/>
    </row>
    <row r="31" spans="1:31" ht="15">
      <c r="A31" s="185"/>
      <c r="B31" s="202" t="s">
        <v>255</v>
      </c>
      <c r="C31" s="208"/>
      <c r="D31" s="208"/>
      <c r="E31" s="208"/>
      <c r="F31" s="208"/>
      <c r="G31" s="208"/>
      <c r="H31" s="208"/>
      <c r="I31" s="208"/>
      <c r="J31" s="208"/>
      <c r="K31" s="208"/>
      <c r="L31" s="208"/>
      <c r="M31" s="208"/>
      <c r="N31" s="208"/>
      <c r="O31" s="208"/>
      <c r="P31" s="208"/>
      <c r="Q31" s="208"/>
      <c r="R31" s="208"/>
      <c r="S31" s="208"/>
      <c r="T31" s="208"/>
      <c r="U31" s="208"/>
      <c r="V31" s="208"/>
      <c r="W31" s="208"/>
      <c r="X31" s="209"/>
      <c r="Y31" s="341"/>
    </row>
    <row r="32" spans="1:31" ht="15.75" thickBot="1">
      <c r="A32" s="185"/>
      <c r="B32" s="203" t="s">
        <v>256</v>
      </c>
      <c r="C32" s="210"/>
      <c r="D32" s="210"/>
      <c r="E32" s="210"/>
      <c r="F32" s="210"/>
      <c r="G32" s="210"/>
      <c r="H32" s="210"/>
      <c r="I32" s="210"/>
      <c r="J32" s="210"/>
      <c r="K32" s="210"/>
      <c r="L32" s="210"/>
      <c r="M32" s="210"/>
      <c r="N32" s="210"/>
      <c r="O32" s="210"/>
      <c r="P32" s="210"/>
      <c r="Q32" s="210"/>
      <c r="R32" s="210"/>
      <c r="S32" s="210"/>
      <c r="T32" s="210"/>
      <c r="U32" s="210"/>
      <c r="V32" s="210"/>
      <c r="W32" s="210"/>
      <c r="X32" s="211"/>
      <c r="Y32" s="341"/>
    </row>
    <row r="33" spans="2:25" ht="13.5" thickBot="1">
      <c r="B33" s="253" t="s">
        <v>118</v>
      </c>
      <c r="C33" s="254"/>
      <c r="D33" s="254"/>
      <c r="E33" s="255"/>
      <c r="F33" s="525"/>
      <c r="G33" s="526"/>
      <c r="H33" s="526"/>
      <c r="I33" s="526"/>
      <c r="J33" s="526"/>
      <c r="K33" s="526"/>
      <c r="L33" s="526"/>
      <c r="M33" s="526"/>
      <c r="N33" s="526"/>
      <c r="O33" s="526"/>
      <c r="P33" s="526"/>
      <c r="Q33" s="527"/>
    </row>
    <row r="34" spans="2:25">
      <c r="B34" s="36"/>
      <c r="C34" s="36"/>
      <c r="D34" s="36"/>
      <c r="E34" s="36"/>
      <c r="F34" s="528"/>
      <c r="G34" s="529"/>
      <c r="H34" s="529"/>
      <c r="I34" s="529"/>
      <c r="J34" s="529"/>
      <c r="K34" s="529"/>
      <c r="L34" s="529"/>
      <c r="M34" s="529"/>
      <c r="N34" s="529"/>
      <c r="O34" s="529"/>
      <c r="P34" s="529"/>
      <c r="Q34" s="530"/>
    </row>
    <row r="35" spans="2:25">
      <c r="F35" s="528"/>
      <c r="G35" s="529"/>
      <c r="H35" s="529"/>
      <c r="I35" s="529"/>
      <c r="J35" s="529"/>
      <c r="K35" s="529"/>
      <c r="L35" s="529"/>
      <c r="M35" s="529"/>
      <c r="N35" s="529"/>
      <c r="O35" s="529"/>
      <c r="P35" s="529"/>
      <c r="Q35" s="530"/>
    </row>
    <row r="36" spans="2:25">
      <c r="F36" s="528"/>
      <c r="G36" s="529"/>
      <c r="H36" s="529"/>
      <c r="I36" s="529"/>
      <c r="J36" s="529"/>
      <c r="K36" s="529"/>
      <c r="L36" s="529"/>
      <c r="M36" s="529"/>
      <c r="N36" s="529"/>
      <c r="O36" s="529"/>
      <c r="P36" s="529"/>
      <c r="Q36" s="530"/>
    </row>
    <row r="37" spans="2:25">
      <c r="F37" s="528"/>
      <c r="G37" s="529"/>
      <c r="H37" s="529"/>
      <c r="I37" s="529"/>
      <c r="J37" s="529"/>
      <c r="K37" s="529"/>
      <c r="L37" s="529"/>
      <c r="M37" s="529"/>
      <c r="N37" s="529"/>
      <c r="O37" s="529"/>
      <c r="P37" s="529"/>
      <c r="Q37" s="530"/>
    </row>
    <row r="38" spans="2:25" ht="13.5" thickBot="1">
      <c r="F38" s="531"/>
      <c r="G38" s="532"/>
      <c r="H38" s="532"/>
      <c r="I38" s="532"/>
      <c r="J38" s="532"/>
      <c r="K38" s="532"/>
      <c r="L38" s="532"/>
      <c r="M38" s="532"/>
      <c r="N38" s="532"/>
      <c r="O38" s="532"/>
      <c r="P38" s="532"/>
      <c r="Q38" s="533"/>
    </row>
    <row r="39" spans="2:25" ht="13.5" thickBot="1">
      <c r="B39" s="36"/>
      <c r="C39" s="36"/>
      <c r="D39" s="36"/>
      <c r="E39" s="36"/>
      <c r="F39" s="36"/>
      <c r="G39" s="36"/>
      <c r="H39" s="36"/>
    </row>
    <row r="40" spans="2:25" ht="13.5" thickBot="1">
      <c r="B40" s="268" t="s">
        <v>207</v>
      </c>
      <c r="C40" s="255"/>
      <c r="D40" s="36"/>
      <c r="E40" s="36"/>
      <c r="F40" s="36"/>
      <c r="G40" s="36"/>
      <c r="H40" s="36"/>
      <c r="I40" s="36"/>
      <c r="J40" s="36"/>
      <c r="K40" s="36"/>
      <c r="L40" s="36"/>
      <c r="M40" s="36"/>
      <c r="N40" s="36"/>
      <c r="O40" s="36"/>
      <c r="P40" s="36"/>
      <c r="Q40" s="36"/>
      <c r="R40" s="36"/>
      <c r="S40" s="36"/>
      <c r="T40" s="36"/>
      <c r="U40" s="36"/>
      <c r="V40" s="36"/>
      <c r="W40" s="36"/>
      <c r="X40" s="36"/>
      <c r="Y40" s="281" t="s">
        <v>119</v>
      </c>
    </row>
    <row r="41" spans="2:25">
      <c r="B41" s="202" t="s">
        <v>249</v>
      </c>
      <c r="C41" s="208"/>
      <c r="D41" s="206"/>
      <c r="E41" s="206"/>
      <c r="F41" s="206"/>
      <c r="G41" s="206"/>
      <c r="H41" s="206"/>
      <c r="I41" s="206"/>
      <c r="J41" s="206"/>
      <c r="K41" s="206"/>
      <c r="L41" s="206"/>
      <c r="M41" s="206"/>
      <c r="N41" s="206"/>
      <c r="O41" s="206"/>
      <c r="P41" s="206"/>
      <c r="Q41" s="206"/>
      <c r="R41" s="206"/>
      <c r="S41" s="206"/>
      <c r="T41" s="206"/>
      <c r="U41" s="206"/>
      <c r="V41" s="206"/>
      <c r="W41" s="206"/>
      <c r="X41" s="207"/>
      <c r="Y41" s="341"/>
    </row>
    <row r="42" spans="2:25">
      <c r="B42" s="202" t="s">
        <v>250</v>
      </c>
      <c r="C42" s="208"/>
      <c r="D42" s="208"/>
      <c r="E42" s="208"/>
      <c r="F42" s="208"/>
      <c r="G42" s="208"/>
      <c r="H42" s="208"/>
      <c r="I42" s="208"/>
      <c r="J42" s="208"/>
      <c r="K42" s="208"/>
      <c r="L42" s="208"/>
      <c r="M42" s="208"/>
      <c r="N42" s="208"/>
      <c r="O42" s="208"/>
      <c r="P42" s="208"/>
      <c r="Q42" s="208"/>
      <c r="R42" s="208"/>
      <c r="S42" s="208"/>
      <c r="T42" s="208"/>
      <c r="U42" s="208"/>
      <c r="V42" s="208"/>
      <c r="W42" s="208"/>
      <c r="X42" s="209"/>
      <c r="Y42" s="341"/>
    </row>
    <row r="43" spans="2:25">
      <c r="B43" s="202" t="s">
        <v>251</v>
      </c>
      <c r="C43" s="208"/>
      <c r="D43" s="208"/>
      <c r="E43" s="208"/>
      <c r="F43" s="208"/>
      <c r="G43" s="208"/>
      <c r="H43" s="208"/>
      <c r="I43" s="208"/>
      <c r="J43" s="208"/>
      <c r="K43" s="208"/>
      <c r="L43" s="208"/>
      <c r="M43" s="208"/>
      <c r="N43" s="208"/>
      <c r="O43" s="208"/>
      <c r="P43" s="208"/>
      <c r="Q43" s="208"/>
      <c r="R43" s="208"/>
      <c r="S43" s="208"/>
      <c r="T43" s="208"/>
      <c r="U43" s="208"/>
      <c r="V43" s="208"/>
      <c r="W43" s="208"/>
      <c r="X43" s="209"/>
      <c r="Y43" s="341"/>
    </row>
    <row r="44" spans="2:25">
      <c r="B44" s="202" t="s">
        <v>252</v>
      </c>
      <c r="C44" s="208"/>
      <c r="D44" s="208"/>
      <c r="E44" s="208"/>
      <c r="F44" s="208"/>
      <c r="G44" s="208"/>
      <c r="H44" s="208"/>
      <c r="I44" s="208"/>
      <c r="J44" s="208"/>
      <c r="K44" s="208"/>
      <c r="L44" s="208"/>
      <c r="M44" s="208"/>
      <c r="N44" s="208"/>
      <c r="O44" s="208"/>
      <c r="P44" s="208"/>
      <c r="Q44" s="208"/>
      <c r="R44" s="208"/>
      <c r="S44" s="208"/>
      <c r="T44" s="208"/>
      <c r="U44" s="208"/>
      <c r="V44" s="208"/>
      <c r="W44" s="208"/>
      <c r="X44" s="209"/>
      <c r="Y44" s="341"/>
    </row>
    <row r="45" spans="2:25">
      <c r="B45" s="202" t="s">
        <v>253</v>
      </c>
      <c r="C45" s="208"/>
      <c r="D45" s="208"/>
      <c r="E45" s="208"/>
      <c r="F45" s="208"/>
      <c r="G45" s="208"/>
      <c r="H45" s="208"/>
      <c r="I45" s="208"/>
      <c r="J45" s="208"/>
      <c r="K45" s="208"/>
      <c r="L45" s="208"/>
      <c r="M45" s="208"/>
      <c r="N45" s="208"/>
      <c r="O45" s="208"/>
      <c r="P45" s="208"/>
      <c r="Q45" s="208"/>
      <c r="R45" s="208"/>
      <c r="S45" s="208"/>
      <c r="T45" s="208"/>
      <c r="U45" s="208"/>
      <c r="V45" s="208"/>
      <c r="W45" s="208"/>
      <c r="X45" s="209"/>
      <c r="Y45" s="341"/>
    </row>
    <row r="46" spans="2:25">
      <c r="B46" s="202" t="s">
        <v>254</v>
      </c>
      <c r="C46" s="208"/>
      <c r="D46" s="208"/>
      <c r="E46" s="208"/>
      <c r="F46" s="208"/>
      <c r="G46" s="208"/>
      <c r="H46" s="208"/>
      <c r="I46" s="208"/>
      <c r="J46" s="208"/>
      <c r="K46" s="208"/>
      <c r="L46" s="208"/>
      <c r="M46" s="208"/>
      <c r="N46" s="208"/>
      <c r="O46" s="208"/>
      <c r="P46" s="208"/>
      <c r="Q46" s="208"/>
      <c r="R46" s="208"/>
      <c r="S46" s="208"/>
      <c r="T46" s="208"/>
      <c r="U46" s="208"/>
      <c r="V46" s="208"/>
      <c r="W46" s="208"/>
      <c r="X46" s="209"/>
      <c r="Y46" s="341"/>
    </row>
    <row r="47" spans="2:25">
      <c r="B47" s="202" t="s">
        <v>255</v>
      </c>
      <c r="C47" s="208"/>
      <c r="D47" s="208"/>
      <c r="E47" s="208"/>
      <c r="F47" s="208"/>
      <c r="G47" s="208"/>
      <c r="H47" s="208"/>
      <c r="I47" s="208"/>
      <c r="J47" s="208"/>
      <c r="K47" s="208"/>
      <c r="L47" s="208"/>
      <c r="M47" s="208"/>
      <c r="N47" s="208"/>
      <c r="O47" s="208"/>
      <c r="P47" s="208"/>
      <c r="Q47" s="208"/>
      <c r="R47" s="208"/>
      <c r="S47" s="208"/>
      <c r="T47" s="208"/>
      <c r="U47" s="208"/>
      <c r="V47" s="208"/>
      <c r="W47" s="208"/>
      <c r="X47" s="209"/>
      <c r="Y47" s="341"/>
    </row>
    <row r="48" spans="2:25" ht="13.5" thickBot="1">
      <c r="B48" s="203" t="s">
        <v>256</v>
      </c>
      <c r="C48" s="210"/>
      <c r="D48" s="210"/>
      <c r="E48" s="210"/>
      <c r="F48" s="210"/>
      <c r="G48" s="210"/>
      <c r="H48" s="210"/>
      <c r="I48" s="210"/>
      <c r="J48" s="210"/>
      <c r="K48" s="210"/>
      <c r="L48" s="210"/>
      <c r="M48" s="210"/>
      <c r="N48" s="210"/>
      <c r="O48" s="210"/>
      <c r="P48" s="210"/>
      <c r="Q48" s="210"/>
      <c r="R48" s="210"/>
      <c r="S48" s="210"/>
      <c r="T48" s="210"/>
      <c r="U48" s="210"/>
      <c r="V48" s="210"/>
      <c r="W48" s="210"/>
      <c r="X48" s="211"/>
      <c r="Y48" s="341"/>
    </row>
    <row r="49" spans="2:25" ht="15" customHeight="1" thickBot="1">
      <c r="B49" s="253" t="s">
        <v>118</v>
      </c>
      <c r="C49" s="254"/>
      <c r="D49" s="254"/>
      <c r="E49" s="255"/>
      <c r="F49" s="525"/>
      <c r="G49" s="526"/>
      <c r="H49" s="526"/>
      <c r="I49" s="526"/>
      <c r="J49" s="526"/>
      <c r="K49" s="526"/>
      <c r="L49" s="526"/>
      <c r="M49" s="526"/>
      <c r="N49" s="526"/>
      <c r="O49" s="526"/>
      <c r="P49" s="526"/>
      <c r="Q49" s="527"/>
      <c r="R49" s="36"/>
      <c r="S49" s="36"/>
      <c r="T49" s="36"/>
      <c r="U49" s="36"/>
      <c r="V49" s="36"/>
      <c r="W49" s="36"/>
      <c r="X49" s="36"/>
      <c r="Y49" s="36"/>
    </row>
    <row r="50" spans="2:25">
      <c r="B50" s="36"/>
      <c r="C50" s="36"/>
      <c r="D50" s="36"/>
      <c r="E50" s="36"/>
      <c r="F50" s="528"/>
      <c r="G50" s="529"/>
      <c r="H50" s="529"/>
      <c r="I50" s="529"/>
      <c r="J50" s="529"/>
      <c r="K50" s="529"/>
      <c r="L50" s="529"/>
      <c r="M50" s="529"/>
      <c r="N50" s="529"/>
      <c r="O50" s="529"/>
      <c r="P50" s="529"/>
      <c r="Q50" s="530"/>
      <c r="R50" s="36"/>
      <c r="S50" s="36"/>
      <c r="T50" s="36"/>
      <c r="U50" s="36"/>
      <c r="V50" s="36"/>
      <c r="W50" s="36"/>
      <c r="X50" s="36"/>
      <c r="Y50" s="36"/>
    </row>
    <row r="51" spans="2:25">
      <c r="F51" s="528"/>
      <c r="G51" s="529"/>
      <c r="H51" s="529"/>
      <c r="I51" s="529"/>
      <c r="J51" s="529"/>
      <c r="K51" s="529"/>
      <c r="L51" s="529"/>
      <c r="M51" s="529"/>
      <c r="N51" s="529"/>
      <c r="O51" s="529"/>
      <c r="P51" s="529"/>
      <c r="Q51" s="530"/>
      <c r="R51" s="36"/>
      <c r="S51" s="36"/>
      <c r="T51" s="36"/>
      <c r="U51" s="36"/>
      <c r="V51" s="36"/>
      <c r="W51" s="36"/>
      <c r="X51" s="36"/>
      <c r="Y51" s="36"/>
    </row>
    <row r="52" spans="2:25">
      <c r="F52" s="528"/>
      <c r="G52" s="529"/>
      <c r="H52" s="529"/>
      <c r="I52" s="529"/>
      <c r="J52" s="529"/>
      <c r="K52" s="529"/>
      <c r="L52" s="529"/>
      <c r="M52" s="529"/>
      <c r="N52" s="529"/>
      <c r="O52" s="529"/>
      <c r="P52" s="529"/>
      <c r="Q52" s="530"/>
      <c r="R52" s="36"/>
      <c r="S52" s="36"/>
      <c r="T52" s="36"/>
      <c r="U52" s="36"/>
      <c r="V52" s="36"/>
      <c r="W52" s="36"/>
      <c r="X52" s="36"/>
      <c r="Y52" s="36"/>
    </row>
    <row r="53" spans="2:25">
      <c r="F53" s="528"/>
      <c r="G53" s="529"/>
      <c r="H53" s="529"/>
      <c r="I53" s="529"/>
      <c r="J53" s="529"/>
      <c r="K53" s="529"/>
      <c r="L53" s="529"/>
      <c r="M53" s="529"/>
      <c r="N53" s="529"/>
      <c r="O53" s="529"/>
      <c r="P53" s="529"/>
      <c r="Q53" s="530"/>
      <c r="R53" s="36"/>
      <c r="S53" s="36"/>
      <c r="T53" s="36"/>
      <c r="U53" s="36"/>
      <c r="V53" s="36"/>
      <c r="W53" s="36"/>
      <c r="X53" s="36"/>
      <c r="Y53" s="36"/>
    </row>
    <row r="54" spans="2:25" ht="13.5" thickBot="1">
      <c r="F54" s="531"/>
      <c r="G54" s="532"/>
      <c r="H54" s="532"/>
      <c r="I54" s="532"/>
      <c r="J54" s="532"/>
      <c r="K54" s="532"/>
      <c r="L54" s="532"/>
      <c r="M54" s="532"/>
      <c r="N54" s="532"/>
      <c r="O54" s="532"/>
      <c r="P54" s="532"/>
      <c r="Q54" s="533"/>
      <c r="R54" s="36"/>
      <c r="S54" s="36"/>
      <c r="T54" s="36"/>
      <c r="U54" s="36"/>
      <c r="V54" s="36"/>
      <c r="W54" s="36"/>
      <c r="X54" s="36"/>
      <c r="Y54" s="36"/>
    </row>
    <row r="55" spans="2:25">
      <c r="N55" s="36"/>
      <c r="O55" s="36"/>
      <c r="P55" s="36"/>
      <c r="Q55" s="36"/>
      <c r="R55" s="36"/>
      <c r="S55" s="36"/>
      <c r="T55" s="36"/>
      <c r="U55" s="36"/>
      <c r="V55" s="36"/>
      <c r="W55" s="36"/>
      <c r="X55" s="36"/>
      <c r="Y55" s="36"/>
    </row>
    <row r="56" spans="2:25">
      <c r="N56" s="36"/>
      <c r="O56" s="36"/>
      <c r="P56" s="36"/>
      <c r="Q56" s="36"/>
      <c r="R56" s="36"/>
      <c r="S56" s="36"/>
      <c r="T56" s="36"/>
      <c r="U56" s="36"/>
      <c r="V56" s="36"/>
      <c r="W56" s="36"/>
      <c r="X56" s="36"/>
      <c r="Y56" s="36"/>
    </row>
  </sheetData>
  <mergeCells count="17">
    <mergeCell ref="P5:X5"/>
    <mergeCell ref="M6:O6"/>
    <mergeCell ref="P6:X6"/>
    <mergeCell ref="F33:Q38"/>
    <mergeCell ref="F49:Q54"/>
    <mergeCell ref="A5:L6"/>
    <mergeCell ref="M5:O5"/>
    <mergeCell ref="A1:C3"/>
    <mergeCell ref="D1:L2"/>
    <mergeCell ref="M1:X2"/>
    <mergeCell ref="D3:L3"/>
    <mergeCell ref="M3:X3"/>
    <mergeCell ref="P4:T4"/>
    <mergeCell ref="U4:V4"/>
    <mergeCell ref="W4:X4"/>
    <mergeCell ref="A4:L4"/>
    <mergeCell ref="M4:O4"/>
  </mergeCells>
  <conditionalFormatting sqref="Y25:Y27">
    <cfRule type="cellIs" dxfId="51" priority="62" operator="equal">
      <formula>"Ikke testet"</formula>
    </cfRule>
    <cfRule type="cellIs" dxfId="50" priority="63" operator="equal">
      <formula>"Ikke OK!"</formula>
    </cfRule>
    <cfRule type="cellIs" dxfId="49" priority="64" operator="equal">
      <formula>"OK"</formula>
    </cfRule>
  </conditionalFormatting>
  <conditionalFormatting sqref="M3:X3">
    <cfRule type="expression" dxfId="48" priority="54" stopIfTrue="1">
      <formula>$M$1=""</formula>
    </cfRule>
  </conditionalFormatting>
  <conditionalFormatting sqref="M1:X2">
    <cfRule type="cellIs" dxfId="47" priority="55" stopIfTrue="1" operator="equal">
      <formula>""</formula>
    </cfRule>
  </conditionalFormatting>
  <conditionalFormatting sqref="A5:L6">
    <cfRule type="expression" dxfId="46" priority="51">
      <formula>$A$5=""</formula>
    </cfRule>
  </conditionalFormatting>
  <conditionalFormatting sqref="P4:T4">
    <cfRule type="expression" dxfId="45" priority="52" stopIfTrue="1">
      <formula>$P$4=""</formula>
    </cfRule>
  </conditionalFormatting>
  <conditionalFormatting sqref="W4:X4">
    <cfRule type="expression" dxfId="44" priority="53" stopIfTrue="1">
      <formula>$W$4=""</formula>
    </cfRule>
  </conditionalFormatting>
  <conditionalFormatting sqref="P5:X5">
    <cfRule type="expression" dxfId="43" priority="50">
      <formula>$P$5=""</formula>
    </cfRule>
  </conditionalFormatting>
  <conditionalFormatting sqref="P6">
    <cfRule type="expression" dxfId="42" priority="49">
      <formula>$P$6=""</formula>
    </cfRule>
  </conditionalFormatting>
  <conditionalFormatting sqref="Y28">
    <cfRule type="cellIs" dxfId="41" priority="37" operator="equal">
      <formula>"Ikke testet"</formula>
    </cfRule>
    <cfRule type="cellIs" dxfId="40" priority="38" operator="equal">
      <formula>"Ikke OK!"</formula>
    </cfRule>
    <cfRule type="cellIs" dxfId="39" priority="39" operator="equal">
      <formula>"OK"</formula>
    </cfRule>
  </conditionalFormatting>
  <conditionalFormatting sqref="Y29">
    <cfRule type="cellIs" dxfId="38" priority="34" operator="equal">
      <formula>"Ikke testet"</formula>
    </cfRule>
    <cfRule type="cellIs" dxfId="37" priority="35" operator="equal">
      <formula>"Ikke OK!"</formula>
    </cfRule>
    <cfRule type="cellIs" dxfId="36" priority="36" operator="equal">
      <formula>"OK"</formula>
    </cfRule>
  </conditionalFormatting>
  <conditionalFormatting sqref="Y30">
    <cfRule type="cellIs" dxfId="35" priority="31" operator="equal">
      <formula>"Ikke testet"</formula>
    </cfRule>
    <cfRule type="cellIs" dxfId="34" priority="32" operator="equal">
      <formula>"Ikke OK!"</formula>
    </cfRule>
    <cfRule type="cellIs" dxfId="33" priority="33" operator="equal">
      <formula>"OK"</formula>
    </cfRule>
  </conditionalFormatting>
  <conditionalFormatting sqref="Y31">
    <cfRule type="cellIs" dxfId="32" priority="28" operator="equal">
      <formula>"Ikke testet"</formula>
    </cfRule>
    <cfRule type="cellIs" dxfId="31" priority="29" operator="equal">
      <formula>"Ikke OK!"</formula>
    </cfRule>
    <cfRule type="cellIs" dxfId="30" priority="30" operator="equal">
      <formula>"OK"</formula>
    </cfRule>
  </conditionalFormatting>
  <conditionalFormatting sqref="Y32">
    <cfRule type="cellIs" dxfId="29" priority="25" operator="equal">
      <formula>"Ikke testet"</formula>
    </cfRule>
    <cfRule type="cellIs" dxfId="28" priority="26" operator="equal">
      <formula>"Ikke OK!"</formula>
    </cfRule>
    <cfRule type="cellIs" dxfId="27" priority="27" operator="equal">
      <formula>"OK"</formula>
    </cfRule>
  </conditionalFormatting>
  <conditionalFormatting sqref="Y41">
    <cfRule type="cellIs" dxfId="26" priority="22" operator="equal">
      <formula>"Ikke testet"</formula>
    </cfRule>
    <cfRule type="cellIs" dxfId="25" priority="23" operator="equal">
      <formula>"Ikke OK!"</formula>
    </cfRule>
    <cfRule type="cellIs" dxfId="24" priority="24" operator="equal">
      <formula>"OK"</formula>
    </cfRule>
  </conditionalFormatting>
  <conditionalFormatting sqref="Y42">
    <cfRule type="cellIs" dxfId="23" priority="19" operator="equal">
      <formula>"Ikke testet"</formula>
    </cfRule>
    <cfRule type="cellIs" dxfId="22" priority="20" operator="equal">
      <formula>"Ikke OK!"</formula>
    </cfRule>
    <cfRule type="cellIs" dxfId="21" priority="21" operator="equal">
      <formula>"OK"</formula>
    </cfRule>
  </conditionalFormatting>
  <conditionalFormatting sqref="Y43">
    <cfRule type="cellIs" dxfId="20" priority="16" operator="equal">
      <formula>"Ikke testet"</formula>
    </cfRule>
    <cfRule type="cellIs" dxfId="19" priority="17" operator="equal">
      <formula>"Ikke OK!"</formula>
    </cfRule>
    <cfRule type="cellIs" dxfId="18" priority="18" operator="equal">
      <formula>"OK"</formula>
    </cfRule>
  </conditionalFormatting>
  <conditionalFormatting sqref="Y44">
    <cfRule type="cellIs" dxfId="17" priority="13" operator="equal">
      <formula>"Ikke testet"</formula>
    </cfRule>
    <cfRule type="cellIs" dxfId="16" priority="14" operator="equal">
      <formula>"Ikke OK!"</formula>
    </cfRule>
    <cfRule type="cellIs" dxfId="15" priority="15" operator="equal">
      <formula>"OK"</formula>
    </cfRule>
  </conditionalFormatting>
  <conditionalFormatting sqref="Y45">
    <cfRule type="cellIs" dxfId="14" priority="10" operator="equal">
      <formula>"Ikke testet"</formula>
    </cfRule>
    <cfRule type="cellIs" dxfId="13" priority="11" operator="equal">
      <formula>"Ikke OK!"</formula>
    </cfRule>
    <cfRule type="cellIs" dxfId="12" priority="12" operator="equal">
      <formula>"OK"</formula>
    </cfRule>
  </conditionalFormatting>
  <conditionalFormatting sqref="Y46">
    <cfRule type="cellIs" dxfId="11" priority="7" operator="equal">
      <formula>"Ikke testet"</formula>
    </cfRule>
    <cfRule type="cellIs" dxfId="10" priority="8" operator="equal">
      <formula>"Ikke OK!"</formula>
    </cfRule>
    <cfRule type="cellIs" dxfId="9" priority="9" operator="equal">
      <formula>"OK"</formula>
    </cfRule>
  </conditionalFormatting>
  <conditionalFormatting sqref="Y47">
    <cfRule type="cellIs" dxfId="8" priority="4" operator="equal">
      <formula>"Ikke testet"</formula>
    </cfRule>
    <cfRule type="cellIs" dxfId="7" priority="5" operator="equal">
      <formula>"Ikke OK!"</formula>
    </cfRule>
    <cfRule type="cellIs" dxfId="6" priority="6" operator="equal">
      <formula>"OK"</formula>
    </cfRule>
  </conditionalFormatting>
  <conditionalFormatting sqref="Y48">
    <cfRule type="cellIs" dxfId="5" priority="1" operator="equal">
      <formula>"Ikke testet"</formula>
    </cfRule>
    <cfRule type="cellIs" dxfId="4" priority="2" operator="equal">
      <formula>"Ikke OK!"</formula>
    </cfRule>
    <cfRule type="cellIs" dxfId="3" priority="3" operator="equal">
      <formula>"OK"</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'5.6 Artefakter'!$AK$8:$AK$11</xm:f>
          </x14:formula1>
          <xm:sqref>Y25:Y32 Y41:Y48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6"/>
  <sheetViews>
    <sheetView topLeftCell="B11" workbookViewId="0">
      <selection activeCell="F35" sqref="F35"/>
    </sheetView>
  </sheetViews>
  <sheetFormatPr defaultRowHeight="12.75"/>
  <cols>
    <col min="1" max="1" width="22.28515625" customWidth="1"/>
    <col min="2" max="2" width="7.5703125" customWidth="1"/>
    <col min="3" max="3" width="7" customWidth="1"/>
    <col min="4" max="4" width="7.140625" customWidth="1"/>
    <col min="5" max="5" width="27.28515625" bestFit="1" customWidth="1"/>
    <col min="6" max="6" width="12.7109375" customWidth="1"/>
  </cols>
  <sheetData>
    <row r="1" spans="1:19" ht="12.75" customHeight="1" thickBot="1">
      <c r="H1" s="375" t="s">
        <v>126</v>
      </c>
      <c r="I1" s="376"/>
      <c r="J1" s="376"/>
      <c r="K1" s="580" t="s">
        <v>127</v>
      </c>
      <c r="L1" s="580"/>
      <c r="M1" s="580"/>
      <c r="N1" s="580"/>
      <c r="O1" s="580"/>
      <c r="P1" s="580"/>
      <c r="Q1" s="581"/>
      <c r="R1" s="36"/>
      <c r="S1" s="36"/>
    </row>
    <row r="2" spans="1:19" ht="13.15" customHeight="1">
      <c r="C2" s="552">
        <f>Oplysningsside!I14</f>
        <v>0</v>
      </c>
      <c r="D2" s="553"/>
      <c r="E2" s="554"/>
      <c r="H2" s="377"/>
      <c r="I2" s="378"/>
      <c r="J2" s="378"/>
      <c r="K2" s="582"/>
      <c r="L2" s="582"/>
      <c r="M2" s="582"/>
      <c r="N2" s="582"/>
      <c r="O2" s="582"/>
      <c r="P2" s="582"/>
      <c r="Q2" s="583"/>
      <c r="R2" s="36"/>
      <c r="S2" s="36"/>
    </row>
    <row r="3" spans="1:19" ht="13.15" customHeight="1" thickBot="1">
      <c r="C3" s="555"/>
      <c r="D3" s="556"/>
      <c r="E3" s="557"/>
      <c r="H3" s="379"/>
      <c r="I3" s="380"/>
      <c r="J3" s="380"/>
      <c r="K3" s="584" t="s">
        <v>128</v>
      </c>
      <c r="L3" s="584"/>
      <c r="M3" s="584"/>
      <c r="N3" s="584"/>
      <c r="O3" s="584"/>
      <c r="P3" s="584"/>
      <c r="Q3" s="585"/>
      <c r="R3" s="36"/>
      <c r="S3" s="36"/>
    </row>
    <row r="4" spans="1:19" ht="25.15" customHeight="1" thickBot="1">
      <c r="C4" s="558" t="s">
        <v>83</v>
      </c>
      <c r="D4" s="559"/>
      <c r="E4" s="560"/>
      <c r="H4" s="36"/>
      <c r="I4" s="36"/>
      <c r="J4" s="36"/>
      <c r="K4" s="36"/>
      <c r="L4" s="36"/>
      <c r="M4" s="36"/>
      <c r="N4" s="36"/>
      <c r="O4" s="36"/>
      <c r="P4" s="36"/>
      <c r="Q4" s="36"/>
      <c r="R4" s="36"/>
      <c r="S4" s="36"/>
    </row>
    <row r="5" spans="1:19" ht="12.75" customHeight="1" thickBot="1">
      <c r="H5" s="36"/>
      <c r="I5" s="36"/>
      <c r="J5" s="36"/>
      <c r="K5" s="36"/>
      <c r="L5" s="36"/>
      <c r="M5" s="36"/>
      <c r="N5" s="36"/>
      <c r="O5" s="36"/>
      <c r="P5" s="36"/>
      <c r="Q5" s="36"/>
      <c r="R5" s="36"/>
      <c r="S5" s="36"/>
    </row>
    <row r="6" spans="1:19" ht="13.5" customHeight="1">
      <c r="A6" s="288" t="s">
        <v>67</v>
      </c>
      <c r="B6" s="575">
        <f>IF(ISBLANK('Samlet rapport (TG18)'!J17:N17),"",Oplysningsside!I15)</f>
        <v>0</v>
      </c>
      <c r="C6" s="576"/>
      <c r="D6" s="576"/>
      <c r="E6" s="289" t="s">
        <v>66</v>
      </c>
      <c r="F6" s="576" t="str">
        <f>IF(ISBLANK(Oplysningsside!R14),"",Oplysningsside!R14)</f>
        <v/>
      </c>
      <c r="G6" s="586"/>
      <c r="H6" s="293" t="s">
        <v>232</v>
      </c>
      <c r="I6" s="294"/>
      <c r="J6" s="295"/>
      <c r="K6" s="36"/>
      <c r="L6" s="36"/>
      <c r="M6" s="36"/>
      <c r="N6" s="36"/>
      <c r="O6" s="36"/>
      <c r="P6" s="36"/>
      <c r="Q6" s="36"/>
      <c r="R6" s="36"/>
      <c r="S6" s="36"/>
    </row>
    <row r="7" spans="1:19" ht="12.75" customHeight="1">
      <c r="A7" s="290" t="s">
        <v>78</v>
      </c>
      <c r="B7" s="563" t="str">
        <f>IF(ISBLANK(Oplysningsside!R27),"",Oplysningsside!R27)</f>
        <v/>
      </c>
      <c r="C7" s="563"/>
      <c r="D7" s="563"/>
      <c r="E7" s="284" t="s">
        <v>51</v>
      </c>
      <c r="F7" s="562" t="str">
        <f>IF(ISBLANK(Oplysningsside!R15),"",Oplysningsside!R15)</f>
        <v/>
      </c>
      <c r="G7" s="574"/>
      <c r="H7" s="579" t="str">
        <f>IF(ISBLANK(Oplysningsside!R24),"",Oplysningsside!R24)</f>
        <v/>
      </c>
      <c r="I7" s="574"/>
      <c r="J7" s="317"/>
    </row>
    <row r="8" spans="1:19" ht="12.75" customHeight="1" thickBot="1">
      <c r="A8" s="290" t="s">
        <v>248</v>
      </c>
      <c r="B8" s="562" t="str">
        <f>IF(ISBLANK(Oplysningsside!R28),"",Oplysningsside!R28)</f>
        <v/>
      </c>
      <c r="C8" s="562"/>
      <c r="D8" s="562"/>
      <c r="E8" s="284" t="s">
        <v>58</v>
      </c>
      <c r="F8" s="562" t="str">
        <f>IF(ISBLANK(Oplysningsside!R16),"",Oplysningsside!R16)</f>
        <v/>
      </c>
      <c r="G8" s="574"/>
      <c r="H8" s="318" t="str">
        <f>IF(ISBLANK(Oplysningsside!R25),"",Oplysningsside!R25)</f>
        <v/>
      </c>
      <c r="I8" s="311"/>
      <c r="J8" s="312"/>
    </row>
    <row r="9" spans="1:19">
      <c r="A9" s="290" t="s">
        <v>247</v>
      </c>
      <c r="B9" s="563" t="str">
        <f>IF(ISBLANK(Oplysningsside!R29),"",Oplysningsside!R29)</f>
        <v/>
      </c>
      <c r="C9" s="563"/>
      <c r="D9" s="563"/>
      <c r="E9" s="286" t="s">
        <v>197</v>
      </c>
      <c r="F9" s="562" t="str">
        <f>IF(ISBLANK(Oplysningsside!R17),"",Oplysningsside!R17)</f>
        <v/>
      </c>
      <c r="G9" s="574"/>
    </row>
    <row r="10" spans="1:19">
      <c r="A10" s="290" t="s">
        <v>68</v>
      </c>
      <c r="B10" s="561" t="str">
        <f>IF(ISBLANK(Oplysningsside!I16),"",Oplysningsside!I16)</f>
        <v/>
      </c>
      <c r="C10" s="562"/>
      <c r="D10" s="562"/>
      <c r="E10" s="275"/>
      <c r="F10" s="309"/>
      <c r="G10" s="310"/>
    </row>
    <row r="11" spans="1:19">
      <c r="A11" s="290" t="s">
        <v>69</v>
      </c>
      <c r="B11" s="561" t="str">
        <f>IF(ISBLANK(Oplysningsside!I17),"",Oplysningsside!I17)</f>
        <v/>
      </c>
      <c r="C11" s="562"/>
      <c r="D11" s="562"/>
      <c r="E11" s="285" t="str">
        <f>IF(ISBLANK(Oplysningsside!R19),"","Måleudstyr 2")</f>
        <v/>
      </c>
      <c r="F11" s="571" t="str">
        <f>IF(ISBLANK(Oplysningsside!R19),"",Oplysningsside!R19)</f>
        <v/>
      </c>
      <c r="G11" s="572"/>
    </row>
    <row r="12" spans="1:19">
      <c r="A12" s="290" t="s">
        <v>70</v>
      </c>
      <c r="B12" s="561" t="str">
        <f>IF(ISBLANK(Oplysningsside!I18),"",Oplysningsside!I18)</f>
        <v/>
      </c>
      <c r="C12" s="562"/>
      <c r="D12" s="562"/>
      <c r="E12" s="287" t="str">
        <f>IF(ISBLANK(Oplysningsside!R20),"","Fabrikat")</f>
        <v/>
      </c>
      <c r="F12" s="313" t="str">
        <f>IF(ISBLANK(Oplysningsside!R20),"",Oplysningsside!R20)</f>
        <v/>
      </c>
      <c r="G12" s="314"/>
    </row>
    <row r="13" spans="1:19">
      <c r="A13" s="290" t="s">
        <v>71</v>
      </c>
      <c r="B13" s="561" t="str">
        <f>IF(ISBLANK(Oplysningsside!I19),"",Oplysningsside!I19)</f>
        <v/>
      </c>
      <c r="C13" s="562"/>
      <c r="D13" s="562"/>
      <c r="E13" s="287" t="str">
        <f>IF(ISBLANK(Oplysningsside!R21),"","Model")</f>
        <v/>
      </c>
      <c r="F13" s="313" t="str">
        <f>IF(ISBLANK(Oplysningsside!R21),"",Oplysningsside!R21)</f>
        <v/>
      </c>
      <c r="G13" s="314"/>
    </row>
    <row r="14" spans="1:19" s="36" customFormat="1" ht="13.5" thickBot="1">
      <c r="A14" s="291" t="s">
        <v>61</v>
      </c>
      <c r="B14" s="573">
        <f>IF(ISBLANK('Samlet rapport (TG18)'!#REF!),"",Oplysningsside!I20)</f>
        <v>0</v>
      </c>
      <c r="C14" s="573"/>
      <c r="D14" s="573"/>
      <c r="E14" s="292" t="str">
        <f>IF(ISBLANK(Oplysningsside!R22),"","Serienummer")</f>
        <v/>
      </c>
      <c r="F14" s="315" t="str">
        <f>IF(ISBLANK(Oplysningsside!R22),"",Oplysningsside!R22)</f>
        <v/>
      </c>
      <c r="G14" s="316"/>
    </row>
    <row r="15" spans="1:19" s="36" customFormat="1" ht="13.5" thickBot="1">
      <c r="A15"/>
      <c r="B15" s="577"/>
      <c r="C15" s="577"/>
      <c r="D15" s="577"/>
      <c r="E15" s="237"/>
      <c r="F15" s="242"/>
      <c r="G15" s="242"/>
    </row>
    <row r="16" spans="1:19" ht="13.5" thickBot="1">
      <c r="A16" s="305" t="s">
        <v>49</v>
      </c>
      <c r="B16" s="578"/>
      <c r="C16" s="578"/>
      <c r="D16" s="578"/>
      <c r="E16" s="306" t="s">
        <v>72</v>
      </c>
      <c r="F16" s="307" t="s">
        <v>77</v>
      </c>
      <c r="G16" s="308" t="s">
        <v>74</v>
      </c>
      <c r="H16" s="256"/>
      <c r="I16" s="256"/>
      <c r="J16" s="303" t="s">
        <v>185</v>
      </c>
      <c r="K16" s="304"/>
      <c r="L16" s="256"/>
      <c r="M16" s="256"/>
      <c r="N16" s="256"/>
      <c r="O16" s="256"/>
      <c r="P16" s="256"/>
      <c r="Q16" s="256"/>
    </row>
    <row r="17" spans="1:17" ht="15.75">
      <c r="A17" s="299" t="s">
        <v>140</v>
      </c>
      <c r="B17" s="567" t="str">
        <f>IF(ISBLANK(Oplysningsside!I22),"",Oplysningsside!I22)</f>
        <v/>
      </c>
      <c r="C17" s="567"/>
      <c r="D17" s="568"/>
      <c r="E17" s="300" t="s">
        <v>215</v>
      </c>
      <c r="F17" s="319">
        <f>IF(ISNUMBER('5.2-5.4 Forhold; GSDF; forskel'!F32),'5.2-5.4 Forhold; GSDF; forskel'!F32,"")</f>
        <v>0</v>
      </c>
      <c r="G17" s="301">
        <f>Oplysningsside!R43</f>
        <v>50</v>
      </c>
      <c r="H17" s="302" t="s">
        <v>181</v>
      </c>
      <c r="I17" s="300" t="s">
        <v>224</v>
      </c>
      <c r="J17" s="324" t="str">
        <f>IF(ISBLANK('5.1 Betragtningsforhold'!M10),"",'5.1 Betragtningsforhold'!M10)</f>
        <v/>
      </c>
      <c r="K17" s="325"/>
      <c r="L17" s="325"/>
      <c r="M17" s="325"/>
      <c r="N17" s="325"/>
      <c r="O17" s="325"/>
      <c r="P17" s="325"/>
      <c r="Q17" s="326"/>
    </row>
    <row r="18" spans="1:17" ht="15.75">
      <c r="A18" s="290" t="s">
        <v>51</v>
      </c>
      <c r="B18" s="562" t="str">
        <f>IF(ISBLANK(Oplysningsside!I23),"",Oplysningsside!I23)</f>
        <v/>
      </c>
      <c r="C18" s="562"/>
      <c r="D18" s="569"/>
      <c r="E18" s="284" t="s">
        <v>216</v>
      </c>
      <c r="F18" s="320" t="e">
        <f>'5.2-5.4 Forhold; GSDF; forskel'!D57</f>
        <v>#N/A</v>
      </c>
      <c r="G18" s="297" t="str">
        <f>"≥ "&amp;IF(ISNUMBER(Tol_kontrastforhold2),Tol_kontrastforhold2,"")</f>
        <v>≥ 1,5</v>
      </c>
      <c r="H18" s="36"/>
      <c r="I18" s="284" t="s">
        <v>225</v>
      </c>
      <c r="J18" s="327" t="str">
        <f>IF(ISBLANK('5.2-5.4 Forhold; GSDF; forskel'!A26),"",'5.2-5.4 Forhold; GSDF; forskel'!A26)</f>
        <v/>
      </c>
      <c r="K18" s="328"/>
      <c r="L18" s="328"/>
      <c r="M18" s="328"/>
      <c r="N18" s="328"/>
      <c r="O18" s="328"/>
      <c r="P18" s="328"/>
      <c r="Q18" s="329"/>
    </row>
    <row r="19" spans="1:17" ht="15.75">
      <c r="A19" s="290" t="s">
        <v>58</v>
      </c>
      <c r="B19" s="562" t="str">
        <f>IF(ISBLANK(Oplysningsside!I24),"",Oplysningsside!I24)</f>
        <v/>
      </c>
      <c r="C19" s="562"/>
      <c r="D19" s="569"/>
      <c r="E19" s="284" t="s">
        <v>217</v>
      </c>
      <c r="F19" s="320" t="str">
        <f>IF(ISNUMBER('5.2-5.4 Forhold; GSDF; forskel'!D56),'5.2-5.4 Forhold; GSDF; forskel'!D56,"")</f>
        <v/>
      </c>
      <c r="G19" s="297" t="str">
        <f>"≥ " &amp; Tol_kontrastforhold</f>
        <v>≥ 250</v>
      </c>
      <c r="H19" s="36"/>
      <c r="I19" s="36"/>
      <c r="J19" s="274"/>
      <c r="K19" s="275"/>
      <c r="L19" s="275"/>
      <c r="M19" s="275"/>
      <c r="N19" s="276"/>
      <c r="O19" s="275"/>
      <c r="P19" s="275"/>
      <c r="Q19" s="277"/>
    </row>
    <row r="20" spans="1:17" ht="15" customHeight="1">
      <c r="A20" s="290" t="s">
        <v>63</v>
      </c>
      <c r="B20" s="562" t="str">
        <f>IF(ISBLANK(Oplysningsside!I25),"",Oplysningsside!I25)</f>
        <v/>
      </c>
      <c r="C20" s="562"/>
      <c r="D20" s="569"/>
      <c r="E20" s="284" t="s">
        <v>218</v>
      </c>
      <c r="F20" s="321" t="str">
        <f>IF(ISNUMBER('5.2-5.4 Forhold; GSDF; forskel'!I54),'5.2-5.4 Forhold; GSDF; forskel'!I54,"")</f>
        <v/>
      </c>
      <c r="G20" s="298" t="str">
        <f>"≤ " &amp; Tol_kontrastrespons*100 &amp; " %"</f>
        <v>≤ 15 %</v>
      </c>
      <c r="H20" s="36"/>
      <c r="I20" s="36"/>
      <c r="J20" s="278"/>
      <c r="K20" s="279"/>
      <c r="L20" s="279"/>
      <c r="M20" s="279"/>
      <c r="N20" s="279"/>
      <c r="O20" s="279"/>
      <c r="P20" s="279"/>
      <c r="Q20" s="280"/>
    </row>
    <row r="21" spans="1:17">
      <c r="A21" s="296" t="s">
        <v>121</v>
      </c>
      <c r="B21" s="565" t="str">
        <f>IF(ISBLANK(Oplysningsside!I26),"",Oplysningsside!I26)</f>
        <v/>
      </c>
      <c r="C21" s="565"/>
      <c r="D21" s="566"/>
      <c r="E21" s="284" t="s">
        <v>219</v>
      </c>
      <c r="F21" s="322" t="str">
        <f>IF(ISNUMBER('5.5 Homogenitet'!B18),'5.5 Homogenitet'!B18,"")</f>
        <v/>
      </c>
      <c r="G21" s="297" t="str">
        <f>"≤ " &amp; Tol_Homogenitet*100 &amp;" %"</f>
        <v>≤ 15 %</v>
      </c>
      <c r="H21" s="36"/>
      <c r="I21" s="284" t="s">
        <v>226</v>
      </c>
      <c r="J21" s="330" t="str">
        <f>IF(ISBLANK('5.5 Homogenitet'!E13),"",'5.5 Homogenitet'!E13)</f>
        <v/>
      </c>
      <c r="K21" s="331"/>
      <c r="L21" s="331"/>
      <c r="M21" s="331"/>
      <c r="N21" s="331"/>
      <c r="O21" s="331"/>
      <c r="P21" s="331"/>
      <c r="Q21" s="332"/>
    </row>
    <row r="22" spans="1:17">
      <c r="A22" s="296" t="s">
        <v>223</v>
      </c>
      <c r="B22" s="565" t="str">
        <f>IF(ISBLANK(Oplysningsside!I27),"",Oplysningsside!I27)</f>
        <v/>
      </c>
      <c r="C22" s="565"/>
      <c r="D22" s="566"/>
      <c r="E22" s="284" t="s">
        <v>220</v>
      </c>
      <c r="F22" s="323" t="str">
        <f>IF(AND('5.6 Artefakter'!B14="OK",'5.6 Artefakter'!B15="OK",'5.6 Artefakter'!B16="OK",'5.6 Artefakter'!B18="OK"),"OK",IF(OR('5.6 Artefakter'!B14="Ikke OK!",'5.6 Artefakter'!B15="Ikke OK!",'5.6 Artefakter'!B16="Ikke OK!",'5.6 Artefakter'!B18="Ikke OK!"),"Ikke OK","Ikke Testet"))</f>
        <v>Ikke Testet</v>
      </c>
      <c r="G22" s="297" t="str">
        <f>"= OK"</f>
        <v>= OK</v>
      </c>
      <c r="H22" s="36"/>
      <c r="I22" s="284" t="s">
        <v>227</v>
      </c>
      <c r="J22" s="330" t="str">
        <f>IF(ISBLANK('5.6 Artefakter'!A21),"",'5.6 Artefakter'!A21)</f>
        <v/>
      </c>
      <c r="K22" s="331"/>
      <c r="L22" s="331"/>
      <c r="M22" s="331"/>
      <c r="N22" s="331"/>
      <c r="O22" s="331"/>
      <c r="P22" s="331"/>
      <c r="Q22" s="332"/>
    </row>
    <row r="23" spans="1:17">
      <c r="A23" s="296" t="s">
        <v>146</v>
      </c>
      <c r="B23" s="565" t="str">
        <f>IF(ISBLANK(Oplysningsside!I28),"",Oplysningsside!I28)</f>
        <v/>
      </c>
      <c r="C23" s="565"/>
      <c r="D23" s="566"/>
      <c r="E23" s="284" t="s">
        <v>221</v>
      </c>
      <c r="F23" s="323" t="str">
        <f>IF(AND('5.7 Visuel test'!Y25="OK",'5.7 Visuel test'!Y26="OK",'5.7 Visuel test'!Y27="OK",'5.7 Visuel test'!Y28="OK",'5.7 Visuel test'!Y29="OK",'5.7 Visuel test'!Y30="OK",'5.7 Visuel test'!Y31="OK",'5.7 Visuel test'!Y32="OK"),"OK",IF(OR('5.6 Artefakter'!B14="Ikke OK!",'5.6 Artefakter'!B15="Ikke OK!",'5.6 Artefakter'!B16="Ikke OK!",'5.6 Artefakter'!B18="Ikke OK!"),    "Ikke OK",   "Ikke Testet"))</f>
        <v>Ikke Testet</v>
      </c>
      <c r="G23" s="297" t="str">
        <f>"= OK"</f>
        <v>= OK</v>
      </c>
      <c r="H23" s="36"/>
      <c r="I23" s="284" t="s">
        <v>228</v>
      </c>
      <c r="J23" s="324" t="str">
        <f>IF(ISBLANK('5.7 Visuel test'!F33),"",'5.7 Visuel test'!F33)</f>
        <v/>
      </c>
      <c r="K23" s="325"/>
      <c r="L23" s="325"/>
      <c r="M23" s="325"/>
      <c r="N23" s="325"/>
      <c r="O23" s="325"/>
      <c r="P23" s="325"/>
      <c r="Q23" s="326"/>
    </row>
    <row r="24" spans="1:17">
      <c r="A24" s="296" t="s">
        <v>147</v>
      </c>
      <c r="B24" s="565" t="str">
        <f>IF(ISBLANK(Oplysningsside!I29),"",Oplysningsside!I29)</f>
        <v/>
      </c>
      <c r="C24" s="565"/>
      <c r="D24" s="565"/>
    </row>
    <row r="25" spans="1:17">
      <c r="A25" s="296" t="s">
        <v>148</v>
      </c>
      <c r="B25" s="565" t="str">
        <f>IF(ISBLANK(Oplysningsside!I30),"",Oplysningsside!I30)</f>
        <v/>
      </c>
      <c r="C25" s="565"/>
      <c r="D25" s="565"/>
    </row>
    <row r="26" spans="1:17">
      <c r="A26" s="296" t="s">
        <v>149</v>
      </c>
      <c r="B26" s="565" t="str">
        <f>IF(ISBLANK(Oplysningsside!I31),"",Oplysningsside!I31)</f>
        <v/>
      </c>
      <c r="C26" s="565"/>
      <c r="D26" s="565"/>
    </row>
    <row r="27" spans="1:17" ht="13.5" thickBot="1">
      <c r="G27" s="24"/>
    </row>
    <row r="28" spans="1:17" ht="13.5" thickBot="1">
      <c r="A28" s="305" t="s">
        <v>52</v>
      </c>
      <c r="B28" s="570"/>
      <c r="C28" s="570"/>
      <c r="D28" s="570"/>
      <c r="E28" s="306" t="s">
        <v>72</v>
      </c>
      <c r="F28" s="307" t="s">
        <v>77</v>
      </c>
      <c r="G28" s="308" t="s">
        <v>74</v>
      </c>
      <c r="H28" s="256"/>
      <c r="I28" s="256"/>
      <c r="J28" s="256"/>
      <c r="K28" s="256"/>
      <c r="L28" s="256"/>
      <c r="M28" s="256"/>
      <c r="N28" s="256"/>
      <c r="O28" s="256"/>
      <c r="P28" s="256"/>
      <c r="Q28" s="256"/>
    </row>
    <row r="29" spans="1:17" ht="15.75">
      <c r="A29" s="299" t="s">
        <v>140</v>
      </c>
      <c r="B29" s="567" t="str">
        <f>IF(ISBLANK(Oplysningsside!I33),"",Oplysningsside!I33)</f>
        <v/>
      </c>
      <c r="C29" s="567"/>
      <c r="D29" s="568"/>
      <c r="E29" s="300" t="s">
        <v>215</v>
      </c>
      <c r="F29" s="319">
        <f>IF(ISNUMBER('5.2-5.4 Forhold; GSDF; forskel'!F85),'5.2-5.4 Forhold; GSDF; forskel'!F85,"")</f>
        <v>0</v>
      </c>
      <c r="G29" s="301">
        <f>Oplysningsside!R43</f>
        <v>50</v>
      </c>
      <c r="H29" s="302" t="s">
        <v>181</v>
      </c>
      <c r="I29" s="300" t="s">
        <v>224</v>
      </c>
      <c r="J29" s="324" t="str">
        <f>IF(ISBLANK('5.1 Betragtningsforhold'!M20),"",'5.1 Betragtningsforhold'!M20)</f>
        <v/>
      </c>
      <c r="K29" s="325"/>
      <c r="L29" s="325"/>
      <c r="M29" s="325"/>
      <c r="N29" s="325"/>
      <c r="O29" s="325"/>
      <c r="P29" s="325"/>
      <c r="Q29" s="326"/>
    </row>
    <row r="30" spans="1:17" ht="16.5" customHeight="1">
      <c r="A30" s="290" t="s">
        <v>51</v>
      </c>
      <c r="B30" s="562" t="str">
        <f>IF(ISBLANK(Oplysningsside!I34),"",Oplysningsside!I34)</f>
        <v/>
      </c>
      <c r="C30" s="562"/>
      <c r="D30" s="569"/>
      <c r="E30" s="284" t="s">
        <v>216</v>
      </c>
      <c r="F30" s="320" t="e">
        <f>'5.2-5.4 Forhold; GSDF; forskel'!D110</f>
        <v>#N/A</v>
      </c>
      <c r="G30" s="297" t="str">
        <f>"≥ "&amp;IF(ISNUMBER(Tol_kontrastforhold2),Tol_kontrastforhold2,"")</f>
        <v>≥ 1,5</v>
      </c>
      <c r="I30" s="284" t="s">
        <v>225</v>
      </c>
      <c r="J30" s="327" t="str">
        <f>IF(ISBLANK('5.2-5.4 Forhold; GSDF; forskel'!A79),"",'5.2-5.4 Forhold; GSDF; forskel'!A79)</f>
        <v/>
      </c>
      <c r="K30" s="328"/>
      <c r="L30" s="328"/>
      <c r="M30" s="328"/>
      <c r="N30" s="328"/>
      <c r="O30" s="328"/>
      <c r="P30" s="328"/>
      <c r="Q30" s="329"/>
    </row>
    <row r="31" spans="1:17" ht="15.75">
      <c r="A31" s="290" t="s">
        <v>58</v>
      </c>
      <c r="B31" s="562" t="str">
        <f>IF(ISBLANK(Oplysningsside!I35),"",Oplysningsside!I35)</f>
        <v/>
      </c>
      <c r="C31" s="562"/>
      <c r="D31" s="569"/>
      <c r="E31" s="284" t="s">
        <v>217</v>
      </c>
      <c r="F31" s="320" t="str">
        <f>IF(ISNUMBER('5.2-5.4 Forhold; GSDF; forskel'!D109),'5.2-5.4 Forhold; GSDF; forskel'!D109,"")</f>
        <v/>
      </c>
      <c r="G31" s="297" t="str">
        <f>"≥ " &amp; Tol_kontrastforhold</f>
        <v>≥ 250</v>
      </c>
      <c r="I31" s="36"/>
      <c r="J31" s="274"/>
      <c r="K31" s="275"/>
      <c r="L31" s="275"/>
      <c r="M31" s="275"/>
      <c r="N31" s="276"/>
      <c r="O31" s="275"/>
      <c r="P31" s="275"/>
      <c r="Q31" s="277"/>
    </row>
    <row r="32" spans="1:17">
      <c r="A32" s="290" t="s">
        <v>63</v>
      </c>
      <c r="B32" s="562" t="str">
        <f>IF(ISBLANK(Oplysningsside!I36),"",Oplysningsside!I36)</f>
        <v/>
      </c>
      <c r="C32" s="562"/>
      <c r="D32" s="569"/>
      <c r="E32" s="284" t="s">
        <v>218</v>
      </c>
      <c r="F32" s="321" t="str">
        <f>IF(ISNUMBER('5.2-5.4 Forhold; GSDF; forskel'!I107),'5.2-5.4 Forhold; GSDF; forskel'!I107,"")</f>
        <v/>
      </c>
      <c r="G32" s="298" t="str">
        <f>"≤ " &amp; Tol_kontrastrespons*100 &amp; " %"</f>
        <v>≤ 15 %</v>
      </c>
      <c r="I32" s="36"/>
      <c r="J32" s="278"/>
      <c r="K32" s="279"/>
      <c r="L32" s="279"/>
      <c r="M32" s="279"/>
      <c r="N32" s="279"/>
      <c r="O32" s="279"/>
      <c r="P32" s="279"/>
      <c r="Q32" s="280"/>
    </row>
    <row r="33" spans="1:17">
      <c r="A33" s="296" t="s">
        <v>121</v>
      </c>
      <c r="B33" s="565" t="str">
        <f>IF(ISBLANK(Oplysningsside!I37),"",Oplysningsside!I37)</f>
        <v/>
      </c>
      <c r="C33" s="565"/>
      <c r="D33" s="566"/>
      <c r="E33" s="284" t="s">
        <v>219</v>
      </c>
      <c r="F33" s="322" t="str">
        <f>IF(ISNUMBER('5.5 Homogenitet'!B27),'5.5 Homogenitet'!B27,"")</f>
        <v/>
      </c>
      <c r="G33" s="297" t="str">
        <f>"≤ " &amp; Tol_Homogenitet*100 &amp;" %"</f>
        <v>≤ 15 %</v>
      </c>
      <c r="I33" s="284" t="s">
        <v>226</v>
      </c>
      <c r="J33" s="330" t="str">
        <f>IF(ISBLANK('5.5 Homogenitet'!E22),"",'5.5 Homogenitet'!E22)</f>
        <v/>
      </c>
      <c r="K33" s="331"/>
      <c r="L33" s="331"/>
      <c r="M33" s="331"/>
      <c r="N33" s="331"/>
      <c r="O33" s="331"/>
      <c r="P33" s="331"/>
      <c r="Q33" s="332"/>
    </row>
    <row r="34" spans="1:17">
      <c r="A34" s="296" t="s">
        <v>223</v>
      </c>
      <c r="B34" s="565" t="str">
        <f>IF(ISBLANK(Oplysningsside!I38),"",Oplysningsside!I38)</f>
        <v/>
      </c>
      <c r="C34" s="565"/>
      <c r="D34" s="566"/>
      <c r="E34" s="284" t="s">
        <v>220</v>
      </c>
      <c r="F34" s="323" t="str">
        <f>IF(AND('5.6 Artefakter'!B32="OK",'5.6 Artefakter'!B33="OK",'5.6 Artefakter'!B34="OK",'5.6 Artefakter'!B36="OK"),"OK",IF(OR('5.6 Artefakter'!B32="Ikke OK!",'5.6 Artefakter'!B33="Ikke OK!",'5.6 Artefakter'!B34="Ikke OK!",'5.6 Artefakter'!B36="Ikke OK!"),"Ikke OK","Ikke Testet"))</f>
        <v>Ikke Testet</v>
      </c>
      <c r="G34" s="297" t="str">
        <f>"= OK"</f>
        <v>= OK</v>
      </c>
      <c r="I34" s="284" t="s">
        <v>227</v>
      </c>
      <c r="J34" s="330" t="str">
        <f>IF(ISBLANK('5.6 Artefakter'!A39),"",'5.6 Artefakter'!A39)</f>
        <v/>
      </c>
      <c r="K34" s="331"/>
      <c r="L34" s="331"/>
      <c r="M34" s="331"/>
      <c r="N34" s="331"/>
      <c r="O34" s="331"/>
      <c r="P34" s="331"/>
      <c r="Q34" s="332"/>
    </row>
    <row r="35" spans="1:17">
      <c r="A35" s="296" t="s">
        <v>146</v>
      </c>
      <c r="B35" s="565" t="str">
        <f>IF(ISBLANK(Oplysningsside!I39),"",Oplysningsside!I39)</f>
        <v/>
      </c>
      <c r="C35" s="565"/>
      <c r="D35" s="566"/>
      <c r="E35" s="284" t="s">
        <v>221</v>
      </c>
      <c r="F35" s="323" t="str">
        <f>IF(AND('5.7 Visuel test'!Y41="OK",'5.7 Visuel test'!Y42="OK",'5.7 Visuel test'!Y43="OK",'5.7 Visuel test'!Y44="OK",'5.7 Visuel test'!Y45="OK",'5.7 Visuel test'!Y46="OK",'5.7 Visuel test'!Y47="OK",'5.7 Visuel test'!Y48="OK"),"OK",IF(OR('5.6 Artefakter'!B32="Ikke OK!",'5.6 Artefakter'!B33="Ikke OK!",'5.6 Artefakter'!B34="Ikke OK!",'5.6 Artefakter'!B36="Ikke OK!"),    "Ikke OK",   "Ikke Testet"))</f>
        <v>Ikke Testet</v>
      </c>
      <c r="G35" s="297" t="str">
        <f>"= OK"</f>
        <v>= OK</v>
      </c>
      <c r="I35" s="284" t="s">
        <v>228</v>
      </c>
      <c r="J35" s="324" t="str">
        <f>IF(ISBLANK('5.7 Visuel test'!F49),"",'5.7 Visuel test'!F49)</f>
        <v/>
      </c>
      <c r="K35" s="325"/>
      <c r="L35" s="325"/>
      <c r="M35" s="325"/>
      <c r="N35" s="325"/>
      <c r="O35" s="325"/>
      <c r="P35" s="325"/>
      <c r="Q35" s="326"/>
    </row>
    <row r="36" spans="1:17">
      <c r="A36" s="296" t="s">
        <v>147</v>
      </c>
      <c r="B36" s="565" t="str">
        <f>IF(ISBLANK(Oplysningsside!I40),"",Oplysningsside!I40)</f>
        <v/>
      </c>
      <c r="C36" s="565"/>
      <c r="D36" s="565"/>
    </row>
    <row r="37" spans="1:17" ht="13.5" thickBot="1">
      <c r="A37" s="296" t="s">
        <v>148</v>
      </c>
      <c r="B37" s="565" t="str">
        <f>IF(ISBLANK(Oplysningsside!I41),"",Oplysningsside!I41)</f>
        <v/>
      </c>
      <c r="C37" s="565"/>
      <c r="D37" s="565"/>
      <c r="E37" s="259" t="s">
        <v>73</v>
      </c>
      <c r="F37" s="257" t="s">
        <v>75</v>
      </c>
      <c r="G37" s="258" t="s">
        <v>76</v>
      </c>
    </row>
    <row r="38" spans="1:17" ht="15.75">
      <c r="A38" s="296" t="s">
        <v>149</v>
      </c>
      <c r="B38" s="565" t="str">
        <f>IF(ISBLANK(Oplysningsside!I42),"",Oplysningsside!I42)</f>
        <v/>
      </c>
      <c r="C38" s="565"/>
      <c r="D38" s="565"/>
      <c r="E38" s="284" t="s">
        <v>222</v>
      </c>
      <c r="F38" s="321" t="str">
        <f>IF(ISNUMBER('5.2-5.4 Forhold; GSDF; forskel'!B115),'5.2-5.4 Forhold; GSDF; forskel'!B115,"")</f>
        <v/>
      </c>
      <c r="G38" s="298" t="str">
        <f>"≤ " &amp; Tol_diff_monitorer*100 &amp; " %"</f>
        <v>≤ 10 %</v>
      </c>
    </row>
    <row r="39" spans="1:17">
      <c r="B39" s="564"/>
      <c r="C39" s="564"/>
      <c r="D39" s="564"/>
    </row>
    <row r="43" spans="1:17">
      <c r="F43" s="27"/>
      <c r="G43" s="27"/>
      <c r="H43" s="27"/>
      <c r="I43" s="27"/>
    </row>
    <row r="44" spans="1:17">
      <c r="F44" s="27"/>
      <c r="G44" s="27"/>
      <c r="H44" s="27"/>
      <c r="I44" s="27"/>
    </row>
    <row r="45" spans="1:17">
      <c r="F45" s="27"/>
      <c r="G45" s="27"/>
      <c r="H45" s="27"/>
      <c r="I45" s="27"/>
    </row>
    <row r="46" spans="1:17">
      <c r="F46" s="27"/>
      <c r="G46" s="27"/>
      <c r="H46" s="27"/>
      <c r="I46" s="27"/>
    </row>
    <row r="47" spans="1:17">
      <c r="F47" s="27"/>
      <c r="G47" s="27"/>
      <c r="H47" s="27"/>
      <c r="I47" s="27"/>
    </row>
    <row r="48" spans="1:17">
      <c r="F48" s="237"/>
      <c r="G48" s="27"/>
      <c r="H48" s="27"/>
      <c r="I48" s="27"/>
    </row>
    <row r="49" spans="6:9">
      <c r="F49" s="237"/>
      <c r="G49" s="27"/>
      <c r="H49" s="27"/>
      <c r="I49" s="27"/>
    </row>
    <row r="50" spans="6:9">
      <c r="F50" s="27"/>
      <c r="G50" s="27"/>
      <c r="H50" s="27"/>
      <c r="I50" s="27"/>
    </row>
    <row r="51" spans="6:9">
      <c r="F51" s="237"/>
      <c r="G51" s="27"/>
      <c r="H51" s="27"/>
      <c r="I51" s="27"/>
    </row>
    <row r="52" spans="6:9">
      <c r="F52" s="27"/>
      <c r="G52" s="27"/>
      <c r="H52" s="27"/>
      <c r="I52" s="27"/>
    </row>
    <row r="53" spans="6:9">
      <c r="F53" s="27"/>
      <c r="G53" s="27"/>
      <c r="H53" s="27"/>
      <c r="I53" s="27"/>
    </row>
    <row r="54" spans="6:9">
      <c r="F54" s="27"/>
      <c r="G54" s="27"/>
      <c r="H54" s="27"/>
      <c r="I54" s="27"/>
    </row>
    <row r="55" spans="6:9">
      <c r="F55" s="27"/>
      <c r="G55" s="27"/>
      <c r="H55" s="27"/>
      <c r="I55" s="27"/>
    </row>
    <row r="56" spans="6:9">
      <c r="F56" s="27"/>
      <c r="G56" s="27"/>
      <c r="H56" s="27"/>
      <c r="I56" s="27"/>
    </row>
  </sheetData>
  <mergeCells count="44">
    <mergeCell ref="H7:I7"/>
    <mergeCell ref="H1:J3"/>
    <mergeCell ref="K1:Q2"/>
    <mergeCell ref="K3:Q3"/>
    <mergeCell ref="F6:G6"/>
    <mergeCell ref="B23:D23"/>
    <mergeCell ref="B24:D24"/>
    <mergeCell ref="B6:D6"/>
    <mergeCell ref="B10:D10"/>
    <mergeCell ref="B15:D15"/>
    <mergeCell ref="B16:D16"/>
    <mergeCell ref="B22:D22"/>
    <mergeCell ref="B17:D17"/>
    <mergeCell ref="B18:D18"/>
    <mergeCell ref="B19:D19"/>
    <mergeCell ref="B20:D20"/>
    <mergeCell ref="B21:D21"/>
    <mergeCell ref="F11:G11"/>
    <mergeCell ref="B14:D14"/>
    <mergeCell ref="B13:D13"/>
    <mergeCell ref="F7:G7"/>
    <mergeCell ref="F8:G8"/>
    <mergeCell ref="F9:G9"/>
    <mergeCell ref="B39:D39"/>
    <mergeCell ref="B25:D25"/>
    <mergeCell ref="B26:D26"/>
    <mergeCell ref="B35:D35"/>
    <mergeCell ref="B36:D36"/>
    <mergeCell ref="B37:D37"/>
    <mergeCell ref="B34:D34"/>
    <mergeCell ref="B29:D29"/>
    <mergeCell ref="B31:D31"/>
    <mergeCell ref="B28:D28"/>
    <mergeCell ref="B30:D30"/>
    <mergeCell ref="B32:D32"/>
    <mergeCell ref="B33:D33"/>
    <mergeCell ref="B38:D38"/>
    <mergeCell ref="C2:E3"/>
    <mergeCell ref="C4:E4"/>
    <mergeCell ref="B11:D11"/>
    <mergeCell ref="B12:D12"/>
    <mergeCell ref="B7:D7"/>
    <mergeCell ref="B8:D8"/>
    <mergeCell ref="B9:D9"/>
  </mergeCells>
  <phoneticPr fontId="9" type="noConversion"/>
  <pageMargins left="0.78740157480314965" right="0.39370078740157483" top="0.39370078740157483" bottom="0.39370078740157483"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4"/>
  <sheetViews>
    <sheetView topLeftCell="A5" workbookViewId="0">
      <selection activeCell="F35" sqref="F35"/>
    </sheetView>
  </sheetViews>
  <sheetFormatPr defaultRowHeight="12.75"/>
  <cols>
    <col min="1" max="1" width="21" customWidth="1"/>
    <col min="2" max="2" width="7.5703125" customWidth="1"/>
    <col min="3" max="3" width="8.28515625" customWidth="1"/>
    <col min="5" max="5" width="23" bestFit="1" customWidth="1"/>
    <col min="6" max="6" width="11.85546875" bestFit="1" customWidth="1"/>
    <col min="9" max="9" width="9.140625" style="36"/>
  </cols>
  <sheetData>
    <row r="1" spans="1:17" s="36" customFormat="1" ht="12.75" customHeight="1" thickBot="1">
      <c r="H1" s="375" t="s">
        <v>126</v>
      </c>
      <c r="I1" s="376"/>
      <c r="J1" s="376"/>
      <c r="K1" s="580" t="s">
        <v>127</v>
      </c>
      <c r="L1" s="580"/>
      <c r="M1" s="580"/>
      <c r="N1" s="580"/>
      <c r="O1" s="580"/>
      <c r="P1" s="580"/>
      <c r="Q1" s="581"/>
    </row>
    <row r="2" spans="1:17" s="36" customFormat="1" ht="12.75" customHeight="1">
      <c r="A2"/>
      <c r="B2"/>
      <c r="C2" s="552">
        <f>Oplysningsside!I14</f>
        <v>0</v>
      </c>
      <c r="D2" s="553"/>
      <c r="E2" s="554"/>
      <c r="F2"/>
      <c r="G2"/>
      <c r="H2" s="377"/>
      <c r="I2" s="378"/>
      <c r="J2" s="378"/>
      <c r="K2" s="582"/>
      <c r="L2" s="582"/>
      <c r="M2" s="582"/>
      <c r="N2" s="582"/>
      <c r="O2" s="582"/>
      <c r="P2" s="582"/>
      <c r="Q2" s="583"/>
    </row>
    <row r="3" spans="1:17" s="36" customFormat="1" ht="13.5" customHeight="1" thickBot="1">
      <c r="A3"/>
      <c r="B3"/>
      <c r="C3" s="555"/>
      <c r="D3" s="556"/>
      <c r="E3" s="557"/>
      <c r="F3"/>
      <c r="G3"/>
      <c r="H3" s="379"/>
      <c r="I3" s="380"/>
      <c r="J3" s="380"/>
      <c r="K3" s="584" t="s">
        <v>128</v>
      </c>
      <c r="L3" s="584"/>
      <c r="M3" s="584"/>
      <c r="N3" s="584"/>
      <c r="O3" s="584"/>
      <c r="P3" s="584"/>
      <c r="Q3" s="585"/>
    </row>
    <row r="4" spans="1:17" s="36" customFormat="1" ht="24" thickBot="1">
      <c r="A4"/>
      <c r="B4"/>
      <c r="C4" s="558" t="s">
        <v>83</v>
      </c>
      <c r="D4" s="559"/>
      <c r="E4" s="560"/>
      <c r="F4"/>
      <c r="G4"/>
      <c r="H4"/>
      <c r="J4"/>
      <c r="K4"/>
      <c r="L4"/>
      <c r="M4"/>
      <c r="N4"/>
      <c r="O4"/>
      <c r="P4"/>
      <c r="Q4"/>
    </row>
    <row r="5" spans="1:17" s="36" customFormat="1" ht="12.75" customHeight="1" thickBot="1">
      <c r="A5"/>
      <c r="B5"/>
      <c r="C5"/>
      <c r="D5"/>
      <c r="E5"/>
      <c r="F5"/>
      <c r="G5"/>
      <c r="H5"/>
      <c r="J5"/>
      <c r="K5"/>
      <c r="L5"/>
      <c r="M5"/>
      <c r="N5"/>
      <c r="O5"/>
      <c r="P5"/>
      <c r="Q5"/>
    </row>
    <row r="6" spans="1:17" s="36" customFormat="1" ht="13.5" customHeight="1">
      <c r="A6" s="288" t="s">
        <v>67</v>
      </c>
      <c r="B6" s="575">
        <f>IF(ISBLANK('Samlet rapport (TG18)'!J17:N17),"",Oplysningsside!I15)</f>
        <v>0</v>
      </c>
      <c r="C6" s="576"/>
      <c r="D6" s="576"/>
      <c r="E6" s="289" t="s">
        <v>66</v>
      </c>
      <c r="F6" s="576" t="str">
        <f>IF(ISBLANK(Oplysningsside!R14),"",Oplysningsside!R14)</f>
        <v/>
      </c>
      <c r="G6" s="586"/>
      <c r="H6" s="293" t="s">
        <v>232</v>
      </c>
      <c r="I6" s="294"/>
      <c r="J6" s="295"/>
      <c r="K6"/>
      <c r="L6"/>
      <c r="M6"/>
      <c r="N6"/>
      <c r="O6"/>
      <c r="P6"/>
      <c r="Q6"/>
    </row>
    <row r="7" spans="1:17" s="36" customFormat="1" ht="12.75" customHeight="1">
      <c r="A7" s="290" t="s">
        <v>78</v>
      </c>
      <c r="B7" s="563" t="str">
        <f>IF(ISBLANK(Oplysningsside!R27),"",Oplysningsside!R27)</f>
        <v/>
      </c>
      <c r="C7" s="563"/>
      <c r="D7" s="563"/>
      <c r="E7" s="284" t="s">
        <v>51</v>
      </c>
      <c r="F7" s="562" t="str">
        <f>IF(ISBLANK(Oplysningsside!R15),"",Oplysningsside!R15)</f>
        <v/>
      </c>
      <c r="G7" s="574"/>
      <c r="H7" s="579" t="str">
        <f>IF(ISBLANK(Oplysningsside!R24),"",Oplysningsside!R24)</f>
        <v/>
      </c>
      <c r="I7" s="574"/>
      <c r="J7" s="317"/>
      <c r="K7"/>
      <c r="L7"/>
      <c r="M7"/>
      <c r="N7"/>
      <c r="O7"/>
      <c r="P7"/>
      <c r="Q7"/>
    </row>
    <row r="8" spans="1:17" s="36" customFormat="1" ht="12.75" customHeight="1" thickBot="1">
      <c r="A8" s="290" t="s">
        <v>248</v>
      </c>
      <c r="B8" s="562" t="str">
        <f>IF(ISBLANK(Oplysningsside!R28),"",Oplysningsside!R28)</f>
        <v/>
      </c>
      <c r="C8" s="562"/>
      <c r="D8" s="562"/>
      <c r="E8" s="284" t="s">
        <v>58</v>
      </c>
      <c r="F8" s="562" t="str">
        <f>IF(ISBLANK(Oplysningsside!R16),"",Oplysningsside!R16)</f>
        <v/>
      </c>
      <c r="G8" s="574"/>
      <c r="H8" s="318" t="str">
        <f>IF(ISBLANK(Oplysningsside!R25),"",Oplysningsside!R25)</f>
        <v/>
      </c>
      <c r="I8" s="311"/>
      <c r="J8" s="312"/>
      <c r="K8"/>
      <c r="L8"/>
      <c r="M8"/>
      <c r="N8"/>
      <c r="O8"/>
      <c r="P8"/>
      <c r="Q8"/>
    </row>
    <row r="9" spans="1:17" s="36" customFormat="1">
      <c r="A9" s="290" t="s">
        <v>247</v>
      </c>
      <c r="B9" s="563" t="str">
        <f>IF(ISBLANK(Oplysningsside!R29),"",Oplysningsside!R29)</f>
        <v/>
      </c>
      <c r="C9" s="563"/>
      <c r="D9" s="563"/>
      <c r="E9" s="286" t="s">
        <v>197</v>
      </c>
      <c r="F9" s="562" t="str">
        <f>IF(ISBLANK(Oplysningsside!R17),"",Oplysningsside!R17)</f>
        <v/>
      </c>
      <c r="G9" s="574"/>
      <c r="K9"/>
      <c r="L9"/>
      <c r="M9"/>
      <c r="N9"/>
      <c r="O9"/>
      <c r="P9"/>
      <c r="Q9"/>
    </row>
    <row r="10" spans="1:17" s="36" customFormat="1">
      <c r="A10" s="290" t="s">
        <v>68</v>
      </c>
      <c r="B10" s="561" t="str">
        <f>IF(ISBLANK(Oplysningsside!I16),"",Oplysningsside!I16)</f>
        <v/>
      </c>
      <c r="C10" s="562"/>
      <c r="D10" s="562"/>
      <c r="E10" s="275"/>
      <c r="F10" s="275"/>
      <c r="G10" s="283"/>
      <c r="K10"/>
      <c r="L10"/>
      <c r="M10"/>
      <c r="N10"/>
      <c r="O10"/>
      <c r="P10"/>
      <c r="Q10"/>
    </row>
    <row r="11" spans="1:17" s="36" customFormat="1">
      <c r="A11" s="290" t="s">
        <v>69</v>
      </c>
      <c r="B11" s="561" t="str">
        <f>IF(ISBLANK(Oplysningsside!I17),"",Oplysningsside!I17)</f>
        <v/>
      </c>
      <c r="C11" s="562"/>
      <c r="D11" s="562"/>
      <c r="E11" s="285" t="str">
        <f>IF(ISBLANK(Oplysningsside!R19),"","Måleudstyr 2")</f>
        <v/>
      </c>
      <c r="F11" s="571" t="str">
        <f>IF(ISBLANK(Oplysningsside!R19),"",Oplysningsside!R19)</f>
        <v/>
      </c>
      <c r="G11" s="572"/>
      <c r="K11"/>
      <c r="L11"/>
      <c r="M11"/>
      <c r="N11"/>
      <c r="O11"/>
      <c r="P11"/>
      <c r="Q11"/>
    </row>
    <row r="12" spans="1:17" s="36" customFormat="1">
      <c r="A12" s="290" t="s">
        <v>70</v>
      </c>
      <c r="B12" s="561" t="str">
        <f>IF(ISBLANK(Oplysningsside!I18),"",Oplysningsside!I18)</f>
        <v/>
      </c>
      <c r="C12" s="562"/>
      <c r="D12" s="562"/>
      <c r="E12" s="287" t="str">
        <f>IF(ISBLANK(Oplysningsside!R20),"","Fabrikat")</f>
        <v/>
      </c>
      <c r="F12" s="313" t="str">
        <f>IF(ISBLANK(Oplysningsside!R20),"",Oplysningsside!R20)</f>
        <v/>
      </c>
      <c r="G12" s="314"/>
      <c r="K12"/>
      <c r="L12"/>
      <c r="M12"/>
      <c r="N12"/>
      <c r="O12"/>
      <c r="P12"/>
      <c r="Q12"/>
    </row>
    <row r="13" spans="1:17" s="36" customFormat="1">
      <c r="A13" s="290" t="s">
        <v>71</v>
      </c>
      <c r="B13" s="561" t="str">
        <f>IF(ISBLANK(Oplysningsside!I19),"",Oplysningsside!I19)</f>
        <v/>
      </c>
      <c r="C13" s="562"/>
      <c r="D13" s="562"/>
      <c r="E13" s="287" t="str">
        <f>IF(ISBLANK(Oplysningsside!R21),"","Model")</f>
        <v/>
      </c>
      <c r="F13" s="313" t="str">
        <f>IF(ISBLANK(Oplysningsside!R21),"",Oplysningsside!R21)</f>
        <v/>
      </c>
      <c r="G13" s="314"/>
    </row>
    <row r="14" spans="1:17" ht="13.5" thickBot="1">
      <c r="A14" s="291" t="s">
        <v>61</v>
      </c>
      <c r="B14" s="573" t="str">
        <f>IF(ISBLANK(Oplysningsside!I20),"",Oplysningsside!I20)</f>
        <v/>
      </c>
      <c r="C14" s="573"/>
      <c r="D14" s="573"/>
      <c r="E14" s="292" t="str">
        <f>IF(ISBLANK(Oplysningsside!R22),"","Serienummer")</f>
        <v/>
      </c>
      <c r="F14" s="315" t="str">
        <f>IF(ISBLANK(Oplysningsside!R22),"",Oplysningsside!R22)</f>
        <v/>
      </c>
      <c r="G14" s="316"/>
      <c r="H14" s="36"/>
      <c r="J14" s="36"/>
      <c r="K14" s="36"/>
      <c r="L14" s="36"/>
      <c r="M14" s="36"/>
      <c r="N14" s="36"/>
      <c r="O14" s="36"/>
      <c r="P14" s="36"/>
      <c r="Q14" s="36"/>
    </row>
    <row r="15" spans="1:17" ht="13.5" thickBot="1">
      <c r="A15" s="36"/>
      <c r="B15" s="241"/>
      <c r="C15" s="241"/>
      <c r="D15" s="241"/>
      <c r="E15" s="36"/>
      <c r="F15" s="36"/>
      <c r="G15" s="36"/>
      <c r="H15" s="36"/>
      <c r="J15" s="36"/>
      <c r="K15" s="36"/>
      <c r="L15" s="36"/>
      <c r="M15" s="36"/>
      <c r="N15" s="36"/>
      <c r="O15" s="36"/>
      <c r="P15" s="36"/>
      <c r="Q15" s="36"/>
    </row>
    <row r="16" spans="1:17" ht="13.5" thickBot="1">
      <c r="A16" s="305" t="s">
        <v>49</v>
      </c>
      <c r="B16" s="578"/>
      <c r="C16" s="578"/>
      <c r="D16" s="578"/>
      <c r="E16" s="306" t="s">
        <v>72</v>
      </c>
      <c r="F16" s="307" t="s">
        <v>77</v>
      </c>
      <c r="G16" s="308" t="s">
        <v>74</v>
      </c>
      <c r="H16" s="256"/>
      <c r="I16" s="256"/>
      <c r="J16" s="303" t="s">
        <v>185</v>
      </c>
      <c r="K16" s="304"/>
      <c r="L16" s="256"/>
      <c r="M16" s="256"/>
      <c r="N16" s="256"/>
      <c r="O16" s="256"/>
      <c r="P16" s="256"/>
      <c r="Q16" s="256"/>
    </row>
    <row r="17" spans="1:17" ht="15.75">
      <c r="A17" s="299" t="s">
        <v>140</v>
      </c>
      <c r="B17" s="567" t="str">
        <f>IF(ISBLANK(Oplysningsside!I22),"",Oplysningsside!I22)</f>
        <v/>
      </c>
      <c r="C17" s="567"/>
      <c r="D17" s="568"/>
      <c r="E17" s="300" t="s">
        <v>184</v>
      </c>
      <c r="F17" s="319">
        <f>IF(ISNUMBER('5.2-5.4 Forhold; GSDF; forskel'!F32),'5.2-5.4 Forhold; GSDF; forskel'!F32,"")</f>
        <v>0</v>
      </c>
      <c r="G17" s="301">
        <f>Oplysningsside!R43</f>
        <v>50</v>
      </c>
      <c r="H17" s="302" t="s">
        <v>181</v>
      </c>
      <c r="I17" s="300" t="s">
        <v>224</v>
      </c>
      <c r="J17" s="324" t="str">
        <f>IF(ISBLANK('5.1 Betragtningsforhold'!M10),"",'5.1 Betragtningsforhold'!M10)</f>
        <v/>
      </c>
      <c r="K17" s="325"/>
      <c r="L17" s="325"/>
      <c r="M17" s="325"/>
      <c r="N17" s="325"/>
      <c r="O17" s="325"/>
      <c r="P17" s="325"/>
      <c r="Q17" s="326"/>
    </row>
    <row r="18" spans="1:17" ht="15.75">
      <c r="A18" s="290" t="s">
        <v>51</v>
      </c>
      <c r="B18" s="562" t="str">
        <f>IF(ISBLANK(Oplysningsside!I23),"",Oplysningsside!I23)</f>
        <v/>
      </c>
      <c r="C18" s="562"/>
      <c r="D18" s="569"/>
      <c r="E18" s="284" t="s">
        <v>182</v>
      </c>
      <c r="F18" s="320" t="e">
        <f>'5.2-5.4 Forhold; GSDF; forskel'!AE50</f>
        <v>#N/A</v>
      </c>
      <c r="G18" s="297" t="str">
        <f>"≥ "&amp;IF(ISNUMBER(Tol_kontrastforhold2),Tol_kontrastforhold2,"")</f>
        <v>≥ 1,5</v>
      </c>
      <c r="H18" s="36"/>
      <c r="I18" s="284" t="s">
        <v>225</v>
      </c>
      <c r="J18" s="327" t="str">
        <f>IF(ISBLANK('5.2-5.4 Forhold; GSDF; forskel'!AB26),"",'5.2-5.4 Forhold; GSDF; forskel'!AB26)</f>
        <v/>
      </c>
      <c r="K18" s="328"/>
      <c r="L18" s="328"/>
      <c r="M18" s="328"/>
      <c r="N18" s="328"/>
      <c r="O18" s="328"/>
      <c r="P18" s="328"/>
      <c r="Q18" s="329"/>
    </row>
    <row r="19" spans="1:17" ht="15.75">
      <c r="A19" s="290" t="s">
        <v>58</v>
      </c>
      <c r="B19" s="562" t="str">
        <f>IF(ISBLANK(Oplysningsside!I24),"",Oplysningsside!I24)</f>
        <v/>
      </c>
      <c r="C19" s="562"/>
      <c r="D19" s="569"/>
      <c r="E19" s="284" t="s">
        <v>183</v>
      </c>
      <c r="F19" s="320" t="str">
        <f>IF(ISNUMBER('5.2-5.4 Forhold; GSDF; forskel'!AE49),'5.2-5.4 Forhold; GSDF; forskel'!AE49,"")</f>
        <v/>
      </c>
      <c r="G19" s="297" t="str">
        <f>"≥ " &amp; Tol_kontrastforhold</f>
        <v>≥ 250</v>
      </c>
      <c r="H19" s="36"/>
      <c r="J19" s="274"/>
      <c r="K19" s="275"/>
      <c r="L19" s="275"/>
      <c r="M19" s="275"/>
      <c r="N19" s="276"/>
      <c r="O19" s="275"/>
      <c r="P19" s="275"/>
      <c r="Q19" s="277"/>
    </row>
    <row r="20" spans="1:17">
      <c r="A20" s="290" t="s">
        <v>63</v>
      </c>
      <c r="B20" s="562" t="str">
        <f>IF(ISBLANK(Oplysningsside!I25),"",Oplysningsside!I25)</f>
        <v/>
      </c>
      <c r="C20" s="562"/>
      <c r="D20" s="569"/>
      <c r="E20" s="284" t="s">
        <v>82</v>
      </c>
      <c r="F20" s="321" t="str">
        <f>IF(ISNUMBER('5.2-5.4 Forhold; GSDF; forskel'!AJ47),'5.2-5.4 Forhold; GSDF; forskel'!AJ47,"")</f>
        <v/>
      </c>
      <c r="G20" s="298" t="str">
        <f>"≤ " &amp; Tol_kontrastrespons*100 &amp; " %"</f>
        <v>≤ 15 %</v>
      </c>
      <c r="H20" s="36"/>
      <c r="J20" s="278"/>
      <c r="K20" s="279"/>
      <c r="L20" s="279"/>
      <c r="M20" s="279"/>
      <c r="N20" s="279"/>
      <c r="O20" s="279"/>
      <c r="P20" s="279"/>
      <c r="Q20" s="280"/>
    </row>
    <row r="21" spans="1:17">
      <c r="A21" s="296" t="s">
        <v>121</v>
      </c>
      <c r="B21" s="565" t="str">
        <f>IF(ISBLANK(Oplysningsside!I26),"",Oplysningsside!I26)</f>
        <v/>
      </c>
      <c r="C21" s="565"/>
      <c r="D21" s="566"/>
      <c r="E21" s="284" t="s">
        <v>46</v>
      </c>
      <c r="F21" s="322" t="str">
        <f>IF(ISNUMBER('5.5 Homogenitet'!B18),'5.5 Homogenitet'!B18,"")</f>
        <v/>
      </c>
      <c r="G21" s="297" t="str">
        <f>"≤ " &amp; Tol_Homogenitet*100 &amp;" %"</f>
        <v>≤ 15 %</v>
      </c>
      <c r="H21" s="36"/>
      <c r="I21" s="284" t="s">
        <v>226</v>
      </c>
      <c r="J21" s="330" t="str">
        <f>IF(ISBLANK('5.5 Homogenitet'!E13),"",'5.5 Homogenitet'!E13)</f>
        <v/>
      </c>
      <c r="K21" s="331"/>
      <c r="L21" s="331"/>
      <c r="M21" s="331"/>
      <c r="N21" s="331"/>
      <c r="O21" s="331"/>
      <c r="P21" s="331"/>
      <c r="Q21" s="332"/>
    </row>
    <row r="22" spans="1:17">
      <c r="A22" s="296" t="s">
        <v>223</v>
      </c>
      <c r="B22" s="565" t="str">
        <f>IF(ISBLANK(Oplysningsside!I27),"",Oplysningsside!I27)</f>
        <v/>
      </c>
      <c r="C22" s="565"/>
      <c r="D22" s="566"/>
      <c r="E22" s="284" t="s">
        <v>54</v>
      </c>
      <c r="F22" s="323" t="str">
        <f>IF(AND('5.6 Artefakter'!B14="OK",'5.6 Artefakter'!B15="OK",'5.6 Artefakter'!B16="OK",'5.6 Artefakter'!B18="OK"),"OK",IF(OR('5.6 Artefakter'!B14="Ikke OK!",'5.6 Artefakter'!B15="Ikke OK!",'5.6 Artefakter'!B16="Ikke OK!",'5.6 Artefakter'!B18="Ikke OK!"),"Ikke OK","Ikke Testet"))</f>
        <v>Ikke Testet</v>
      </c>
      <c r="G22" s="297" t="str">
        <f>"= OK"</f>
        <v>= OK</v>
      </c>
      <c r="H22" s="36"/>
      <c r="I22" s="284" t="s">
        <v>227</v>
      </c>
      <c r="J22" s="330" t="str">
        <f>IF(ISBLANK('5.6 Artefakter'!A21),"",'5.6 Artefakter'!A21)</f>
        <v/>
      </c>
      <c r="K22" s="331"/>
      <c r="L22" s="331"/>
      <c r="M22" s="331"/>
      <c r="N22" s="331"/>
      <c r="O22" s="331"/>
      <c r="P22" s="331"/>
      <c r="Q22" s="332"/>
    </row>
    <row r="23" spans="1:17">
      <c r="A23" s="296" t="s">
        <v>146</v>
      </c>
      <c r="B23" s="565" t="str">
        <f>IF(ISBLANK(Oplysningsside!I28),"",Oplysningsside!I28)</f>
        <v/>
      </c>
      <c r="C23" s="565"/>
      <c r="D23" s="566"/>
      <c r="E23" s="284" t="s">
        <v>100</v>
      </c>
      <c r="F23" s="323" t="str">
        <f>IF(AND('5.7 Visuel test'!Y25="OK",'5.7 Visuel test'!Y26="OK",'5.7 Visuel test'!Y27="OK",'5.7 Visuel test'!Y28="OK",'5.7 Visuel test'!Y29="OK",'5.7 Visuel test'!Y30="OK",'5.7 Visuel test'!Y31="OK",'5.7 Visuel test'!Y32="OK"),"OK",IF(OR('5.6 Artefakter'!B14="Ikke OK!",'5.6 Artefakter'!B15="Ikke OK!",'5.6 Artefakter'!B16="Ikke OK!",'5.6 Artefakter'!B18="Ikke OK!"),    "Ikke OK",   "Ikke Testet"))</f>
        <v>Ikke Testet</v>
      </c>
      <c r="G23" s="297" t="str">
        <f>"= OK"</f>
        <v>= OK</v>
      </c>
      <c r="H23" s="36"/>
      <c r="I23" s="284" t="s">
        <v>228</v>
      </c>
      <c r="J23" s="324" t="str">
        <f>IF(ISBLANK('5.7 Visuel test'!F33),"",'5.7 Visuel test'!F33)</f>
        <v/>
      </c>
      <c r="K23" s="325"/>
      <c r="L23" s="325"/>
      <c r="M23" s="325"/>
      <c r="N23" s="325"/>
      <c r="O23" s="325"/>
      <c r="P23" s="325"/>
      <c r="Q23" s="326"/>
    </row>
    <row r="24" spans="1:17">
      <c r="A24" s="296" t="s">
        <v>147</v>
      </c>
      <c r="B24" s="565" t="str">
        <f>IF(ISBLANK(Oplysningsside!I29),"",Oplysningsside!I29)</f>
        <v/>
      </c>
      <c r="C24" s="565"/>
      <c r="D24" s="565"/>
      <c r="E24" s="36"/>
      <c r="F24" s="36"/>
      <c r="G24" s="36"/>
      <c r="H24" s="36"/>
      <c r="J24" s="36"/>
      <c r="K24" s="36"/>
      <c r="L24" s="36"/>
      <c r="M24" s="36"/>
      <c r="N24" s="36"/>
      <c r="O24" s="36"/>
      <c r="P24" s="36"/>
      <c r="Q24" s="36"/>
    </row>
    <row r="25" spans="1:17" s="36" customFormat="1">
      <c r="A25" s="296" t="s">
        <v>148</v>
      </c>
      <c r="B25" s="565" t="str">
        <f>IF(ISBLANK(Oplysningsside!I30),"",Oplysningsside!I30)</f>
        <v/>
      </c>
      <c r="C25" s="565"/>
      <c r="D25" s="565"/>
    </row>
    <row r="26" spans="1:17" s="36" customFormat="1">
      <c r="A26" s="296" t="s">
        <v>149</v>
      </c>
      <c r="B26" s="565" t="str">
        <f>IF(ISBLANK(Oplysningsside!I31),"",Oplysningsside!I31)</f>
        <v/>
      </c>
      <c r="C26" s="565"/>
      <c r="D26" s="565"/>
    </row>
    <row r="27" spans="1:17" s="36" customFormat="1" ht="13.5" thickBot="1">
      <c r="G27" s="249"/>
    </row>
    <row r="28" spans="1:17" ht="13.5" thickBot="1">
      <c r="A28" s="305" t="s">
        <v>52</v>
      </c>
      <c r="B28" s="570"/>
      <c r="C28" s="570"/>
      <c r="D28" s="570"/>
      <c r="E28" s="306" t="s">
        <v>72</v>
      </c>
      <c r="F28" s="307" t="s">
        <v>77</v>
      </c>
      <c r="G28" s="308" t="s">
        <v>74</v>
      </c>
      <c r="H28" s="256"/>
      <c r="I28" s="256"/>
      <c r="J28" s="256"/>
      <c r="K28" s="256"/>
      <c r="L28" s="256"/>
      <c r="M28" s="256"/>
      <c r="N28" s="256"/>
      <c r="O28" s="256"/>
      <c r="P28" s="256"/>
      <c r="Q28" s="256"/>
    </row>
    <row r="29" spans="1:17" ht="15.75">
      <c r="A29" s="299" t="s">
        <v>140</v>
      </c>
      <c r="B29" s="567" t="str">
        <f>IF(ISBLANK(Oplysningsside!I33),"",Oplysningsside!I33)</f>
        <v/>
      </c>
      <c r="C29" s="567"/>
      <c r="D29" s="568"/>
      <c r="E29" s="300" t="s">
        <v>184</v>
      </c>
      <c r="F29" s="319">
        <f>IF(ISNUMBER('5.2-5.4 Forhold; GSDF; forskel'!F85),'5.2-5.4 Forhold; GSDF; forskel'!F85,"")</f>
        <v>0</v>
      </c>
      <c r="G29" s="301">
        <f>Oplysningsside!R43</f>
        <v>50</v>
      </c>
      <c r="H29" s="302"/>
      <c r="I29" s="300" t="s">
        <v>224</v>
      </c>
      <c r="J29" s="324" t="str">
        <f>IF(ISBLANK('5.1 Betragtningsforhold'!M20),"",'5.1 Betragtningsforhold'!M20)</f>
        <v/>
      </c>
      <c r="K29" s="325"/>
      <c r="L29" s="325"/>
      <c r="M29" s="325"/>
      <c r="N29" s="325"/>
      <c r="O29" s="325"/>
      <c r="P29" s="325"/>
      <c r="Q29" s="326"/>
    </row>
    <row r="30" spans="1:17" ht="15.75">
      <c r="A30" s="290" t="s">
        <v>51</v>
      </c>
      <c r="B30" s="562" t="str">
        <f>IF(ISBLANK(Oplysningsside!I34),"",Oplysningsside!I34)</f>
        <v/>
      </c>
      <c r="C30" s="562"/>
      <c r="D30" s="569"/>
      <c r="E30" s="284" t="s">
        <v>182</v>
      </c>
      <c r="F30" s="320" t="e">
        <f>'5.2-5.4 Forhold; GSDF; forskel'!AE98</f>
        <v>#N/A</v>
      </c>
      <c r="G30" s="297" t="str">
        <f>"≥ "&amp;IF(ISNUMBER(Tol_kontrastforhold2),Tol_kontrastforhold2,"")</f>
        <v>≥ 1,5</v>
      </c>
      <c r="H30" s="36"/>
      <c r="I30" s="284" t="s">
        <v>225</v>
      </c>
      <c r="J30" s="327" t="str">
        <f>IF(ISBLANK('5.2-5.4 Forhold; GSDF; forskel'!AB72),"",'5.2-5.4 Forhold; GSDF; forskel'!AB72)</f>
        <v/>
      </c>
      <c r="K30" s="328"/>
      <c r="L30" s="328"/>
      <c r="M30" s="328"/>
      <c r="N30" s="328"/>
      <c r="O30" s="328"/>
      <c r="P30" s="328"/>
      <c r="Q30" s="329"/>
    </row>
    <row r="31" spans="1:17" ht="15.75">
      <c r="A31" s="290" t="s">
        <v>58</v>
      </c>
      <c r="B31" s="562" t="str">
        <f>IF(ISBLANK(Oplysningsside!I35),"",Oplysningsside!I35)</f>
        <v/>
      </c>
      <c r="C31" s="562"/>
      <c r="D31" s="569"/>
      <c r="E31" s="284" t="s">
        <v>183</v>
      </c>
      <c r="F31" s="320" t="str">
        <f>IF(ISNUMBER('5.2-5.4 Forhold; GSDF; forskel'!AE97),'5.2-5.4 Forhold; GSDF; forskel'!AE97,"")</f>
        <v/>
      </c>
      <c r="G31" s="297" t="str">
        <f>"≥ " &amp; Tol_kontrastforhold</f>
        <v>≥ 250</v>
      </c>
      <c r="H31" s="36"/>
      <c r="J31" s="274"/>
      <c r="K31" s="275"/>
      <c r="L31" s="275"/>
      <c r="M31" s="275"/>
      <c r="N31" s="276"/>
      <c r="O31" s="275"/>
      <c r="P31" s="275"/>
      <c r="Q31" s="277"/>
    </row>
    <row r="32" spans="1:17">
      <c r="A32" s="290" t="s">
        <v>63</v>
      </c>
      <c r="B32" s="562" t="str">
        <f>IF(ISBLANK(Oplysningsside!I36),"",Oplysningsside!I36)</f>
        <v/>
      </c>
      <c r="C32" s="562"/>
      <c r="D32" s="569"/>
      <c r="E32" s="284" t="s">
        <v>96</v>
      </c>
      <c r="F32" s="321" t="str">
        <f>IF(ISNUMBER('5.2-5.4 Forhold; GSDF; forskel'!AJ95),'5.2-5.4 Forhold; GSDF; forskel'!AJ95,"")</f>
        <v/>
      </c>
      <c r="G32" s="298" t="str">
        <f>"≤ " &amp; Tol_kontrastrespons*100 &amp; " %"</f>
        <v>≤ 15 %</v>
      </c>
      <c r="H32" s="36"/>
      <c r="J32" s="278"/>
      <c r="K32" s="279"/>
      <c r="L32" s="279"/>
      <c r="M32" s="279"/>
      <c r="N32" s="279"/>
      <c r="O32" s="279"/>
      <c r="P32" s="279"/>
      <c r="Q32" s="280"/>
    </row>
    <row r="33" spans="1:17">
      <c r="A33" s="296" t="s">
        <v>121</v>
      </c>
      <c r="B33" s="565" t="str">
        <f>IF(ISBLANK(Oplysningsside!I37),"",Oplysningsside!I37)</f>
        <v/>
      </c>
      <c r="C33" s="565"/>
      <c r="D33" s="566"/>
      <c r="E33" s="284" t="s">
        <v>46</v>
      </c>
      <c r="F33" s="322" t="str">
        <f>IF(ISNUMBER('5.5 Homogenitet'!B27),'5.5 Homogenitet'!B27,"")</f>
        <v/>
      </c>
      <c r="G33" s="297" t="str">
        <f>"≤ " &amp; Tol_Homogenitet*100 &amp;" %"</f>
        <v>≤ 15 %</v>
      </c>
      <c r="H33" s="36"/>
      <c r="I33" s="284" t="s">
        <v>226</v>
      </c>
      <c r="J33" s="330" t="str">
        <f>IF(ISBLANK('5.5 Homogenitet'!E22),"",'5.5 Homogenitet'!E22)</f>
        <v/>
      </c>
      <c r="K33" s="331"/>
      <c r="L33" s="331"/>
      <c r="M33" s="331"/>
      <c r="N33" s="331"/>
      <c r="O33" s="331"/>
      <c r="P33" s="331"/>
      <c r="Q33" s="332"/>
    </row>
    <row r="34" spans="1:17">
      <c r="A34" s="296" t="s">
        <v>145</v>
      </c>
      <c r="B34" s="565" t="str">
        <f>IF(ISBLANK(Oplysningsside!I38),"",Oplysningsside!I38)</f>
        <v/>
      </c>
      <c r="C34" s="565"/>
      <c r="D34" s="566"/>
      <c r="E34" s="284" t="s">
        <v>53</v>
      </c>
      <c r="F34" s="323" t="str">
        <f>IF(AND('5.6 Artefakter'!B32="OK",'5.6 Artefakter'!B33="OK",'5.6 Artefakter'!B34="OK",'5.6 Artefakter'!B36="OK"),"OK",IF(OR('5.6 Artefakter'!B32="Ikke OK!",'5.6 Artefakter'!B33="Ikke OK!",'5.6 Artefakter'!B34="Ikke OK!",'5.6 Artefakter'!B36="Ikke OK!"),"Ikke OK","Ikke Testet"))</f>
        <v>Ikke Testet</v>
      </c>
      <c r="G34" s="297" t="str">
        <f>"= OK"</f>
        <v>= OK</v>
      </c>
      <c r="H34" s="36"/>
      <c r="I34" s="284" t="s">
        <v>227</v>
      </c>
      <c r="J34" s="330" t="str">
        <f>IF(ISBLANK('5.6 Artefakter'!A39),"",'5.6 Artefakter'!A39)</f>
        <v/>
      </c>
      <c r="K34" s="331"/>
      <c r="L34" s="331"/>
      <c r="M34" s="331"/>
      <c r="N34" s="331"/>
      <c r="O34" s="331"/>
      <c r="P34" s="331"/>
      <c r="Q34" s="332"/>
    </row>
    <row r="35" spans="1:17">
      <c r="A35" s="296" t="s">
        <v>146</v>
      </c>
      <c r="B35" s="565" t="str">
        <f>IF(ISBLANK(Oplysningsside!I39),"",Oplysningsside!I39)</f>
        <v/>
      </c>
      <c r="C35" s="565"/>
      <c r="D35" s="566"/>
      <c r="E35" s="284" t="s">
        <v>100</v>
      </c>
      <c r="F35" s="323" t="str">
        <f>IF(AND('5.7 Visuel test'!Y41="OK",'5.7 Visuel test'!Y42="OK",'5.7 Visuel test'!Y43="OK",'5.7 Visuel test'!Y44="OK",'5.7 Visuel test'!Y45="OK",'5.7 Visuel test'!Y46="OK",'5.7 Visuel test'!Y47="OK",'5.7 Visuel test'!Y48="OK"),"OK",IF(OR('5.6 Artefakter'!B32="Ikke OK!",'5.6 Artefakter'!B33="Ikke OK!",'5.6 Artefakter'!B34="Ikke OK!",'5.6 Artefakter'!B36="Ikke OK!"),    "Ikke OK",   "Ikke Testet"))</f>
        <v>Ikke Testet</v>
      </c>
      <c r="G35" s="297" t="str">
        <f>"= OK"</f>
        <v>= OK</v>
      </c>
      <c r="H35" s="36"/>
      <c r="I35" s="284" t="s">
        <v>228</v>
      </c>
      <c r="J35" s="324" t="str">
        <f>IF(ISBLANK('5.7 Visuel test'!F49),"",'5.7 Visuel test'!F49)</f>
        <v/>
      </c>
      <c r="K35" s="325"/>
      <c r="L35" s="325"/>
      <c r="M35" s="325"/>
      <c r="N35" s="325"/>
      <c r="O35" s="325"/>
      <c r="P35" s="325"/>
      <c r="Q35" s="326"/>
    </row>
    <row r="36" spans="1:17">
      <c r="A36" s="296" t="s">
        <v>147</v>
      </c>
      <c r="B36" s="565" t="str">
        <f>IF(ISBLANK(Oplysningsside!I40),"",Oplysningsside!I40)</f>
        <v/>
      </c>
      <c r="C36" s="565"/>
      <c r="D36" s="565"/>
      <c r="E36" s="36"/>
      <c r="F36" s="36"/>
      <c r="G36" s="36"/>
      <c r="H36" s="36"/>
      <c r="J36" s="36"/>
      <c r="K36" s="36"/>
      <c r="L36" s="36"/>
      <c r="M36" s="36"/>
      <c r="N36" s="36"/>
      <c r="O36" s="36"/>
      <c r="P36" s="36"/>
      <c r="Q36" s="36"/>
    </row>
    <row r="37" spans="1:17" ht="13.5" thickBot="1">
      <c r="A37" s="296" t="s">
        <v>148</v>
      </c>
      <c r="B37" s="565" t="str">
        <f>IF(ISBLANK(Oplysningsside!I41),"",Oplysningsside!I41)</f>
        <v/>
      </c>
      <c r="C37" s="565"/>
      <c r="D37" s="565"/>
      <c r="E37" s="259" t="s">
        <v>73</v>
      </c>
      <c r="F37" s="257" t="s">
        <v>75</v>
      </c>
      <c r="G37" s="282" t="s">
        <v>76</v>
      </c>
      <c r="H37" s="36"/>
      <c r="J37" s="36"/>
      <c r="K37" s="36"/>
      <c r="L37" s="36"/>
      <c r="M37" s="36"/>
      <c r="N37" s="36"/>
      <c r="O37" s="36"/>
      <c r="P37" s="36"/>
      <c r="Q37" s="36"/>
    </row>
    <row r="38" spans="1:17" ht="15.75">
      <c r="A38" s="296" t="s">
        <v>149</v>
      </c>
      <c r="B38" s="565" t="str">
        <f>IF(ISBLANK(Oplysningsside!I42),"",Oplysningsside!I42)</f>
        <v/>
      </c>
      <c r="C38" s="565"/>
      <c r="D38" s="565"/>
      <c r="E38" s="284" t="s">
        <v>175</v>
      </c>
      <c r="F38" s="321" t="str">
        <f>IF(ISNUMBER('5.2-5.4 Forhold; GSDF; forskel'!B115),'5.2-5.4 Forhold; GSDF; forskel'!B115,"")</f>
        <v/>
      </c>
      <c r="G38" s="298" t="str">
        <f>"≤ " &amp; Tol_diff_monitorer*100 &amp; " %"</f>
        <v>≤ 10 %</v>
      </c>
      <c r="H38" s="36"/>
      <c r="J38" s="36"/>
      <c r="K38" s="36"/>
      <c r="L38" s="36"/>
      <c r="M38" s="36"/>
      <c r="N38" s="36"/>
      <c r="O38" s="36"/>
      <c r="P38" s="36"/>
      <c r="Q38" s="36"/>
    </row>
    <row r="39" spans="1:17">
      <c r="A39" s="36"/>
      <c r="B39" s="248"/>
      <c r="C39" s="248"/>
      <c r="D39" s="248"/>
      <c r="E39" s="36"/>
      <c r="F39" s="23"/>
      <c r="G39" s="249"/>
      <c r="H39" s="36"/>
      <c r="J39" s="36"/>
      <c r="K39" s="36"/>
      <c r="L39" s="36"/>
      <c r="M39" s="36"/>
      <c r="N39" s="36"/>
      <c r="O39" s="36"/>
      <c r="P39" s="36"/>
      <c r="Q39" s="36"/>
    </row>
    <row r="40" spans="1:17">
      <c r="A40" s="243"/>
      <c r="B40" s="243"/>
      <c r="C40" s="21"/>
      <c r="D40" s="244"/>
      <c r="E40" s="36"/>
      <c r="F40" s="36"/>
      <c r="G40" s="36"/>
      <c r="H40" s="36"/>
      <c r="J40" s="36"/>
      <c r="K40" s="36"/>
      <c r="L40" s="36"/>
      <c r="M40" s="36"/>
      <c r="N40" s="36"/>
      <c r="O40" s="36"/>
      <c r="P40" s="36"/>
      <c r="Q40" s="36"/>
    </row>
    <row r="41" spans="1:17">
      <c r="A41" s="243"/>
      <c r="B41" s="243"/>
      <c r="C41" s="21"/>
      <c r="D41" s="244"/>
      <c r="E41" s="36"/>
      <c r="F41" s="36"/>
      <c r="G41" s="36"/>
      <c r="H41" s="36"/>
      <c r="J41" s="36"/>
      <c r="K41" s="36"/>
      <c r="L41" s="36"/>
      <c r="M41" s="36"/>
      <c r="N41" s="36"/>
      <c r="O41" s="36"/>
      <c r="P41" s="36"/>
      <c r="Q41" s="36"/>
    </row>
    <row r="42" spans="1:17">
      <c r="A42" s="243"/>
      <c r="B42" s="243"/>
      <c r="C42" s="21"/>
      <c r="D42" s="244"/>
      <c r="E42" s="36"/>
      <c r="F42" s="36"/>
      <c r="G42" s="36"/>
      <c r="H42" s="36"/>
      <c r="J42" s="36"/>
      <c r="K42" s="36"/>
      <c r="L42" s="36"/>
      <c r="M42" s="36"/>
      <c r="N42" s="36"/>
      <c r="O42" s="36"/>
      <c r="P42" s="36"/>
      <c r="Q42" s="36"/>
    </row>
    <row r="50" spans="1:17" s="36" customFormat="1">
      <c r="A50"/>
      <c r="B50"/>
      <c r="C50"/>
      <c r="D50"/>
      <c r="E50"/>
      <c r="F50"/>
      <c r="G50"/>
      <c r="H50"/>
      <c r="J50"/>
      <c r="K50"/>
      <c r="L50"/>
      <c r="M50"/>
      <c r="N50"/>
      <c r="O50"/>
      <c r="P50"/>
      <c r="Q50"/>
    </row>
    <row r="51" spans="1:17" s="36" customFormat="1">
      <c r="A51"/>
      <c r="B51"/>
      <c r="C51"/>
      <c r="D51"/>
      <c r="E51"/>
      <c r="F51"/>
      <c r="G51"/>
      <c r="H51"/>
      <c r="J51"/>
      <c r="K51"/>
      <c r="L51"/>
      <c r="M51"/>
      <c r="N51"/>
      <c r="O51"/>
      <c r="P51"/>
      <c r="Q51"/>
    </row>
    <row r="52" spans="1:17" s="36" customFormat="1">
      <c r="A52"/>
      <c r="B52"/>
      <c r="C52"/>
      <c r="D52"/>
      <c r="E52"/>
      <c r="F52"/>
      <c r="G52"/>
      <c r="H52"/>
      <c r="J52"/>
      <c r="K52"/>
      <c r="L52"/>
      <c r="M52"/>
      <c r="N52"/>
      <c r="O52"/>
      <c r="P52"/>
      <c r="Q52"/>
    </row>
    <row r="53" spans="1:17" s="36" customFormat="1">
      <c r="A53"/>
      <c r="B53"/>
      <c r="C53"/>
      <c r="D53"/>
      <c r="E53"/>
      <c r="F53"/>
      <c r="G53"/>
      <c r="H53"/>
      <c r="J53"/>
      <c r="K53"/>
      <c r="L53"/>
      <c r="M53"/>
      <c r="N53"/>
      <c r="O53"/>
      <c r="P53"/>
      <c r="Q53"/>
    </row>
    <row r="54" spans="1:17" s="36" customFormat="1">
      <c r="A54"/>
      <c r="B54"/>
      <c r="C54"/>
      <c r="D54"/>
      <c r="E54"/>
      <c r="F54"/>
      <c r="G54"/>
      <c r="H54"/>
      <c r="J54"/>
      <c r="K54"/>
      <c r="L54"/>
      <c r="M54"/>
      <c r="N54"/>
      <c r="O54"/>
      <c r="P54"/>
      <c r="Q54"/>
    </row>
  </sheetData>
  <mergeCells count="42">
    <mergeCell ref="H7:I7"/>
    <mergeCell ref="H1:J3"/>
    <mergeCell ref="K1:Q2"/>
    <mergeCell ref="K3:Q3"/>
    <mergeCell ref="F11:G11"/>
    <mergeCell ref="F8:G8"/>
    <mergeCell ref="F6:G6"/>
    <mergeCell ref="F7:G7"/>
    <mergeCell ref="B8:D8"/>
    <mergeCell ref="B9:D9"/>
    <mergeCell ref="B7:D7"/>
    <mergeCell ref="F9:G9"/>
    <mergeCell ref="C2:E3"/>
    <mergeCell ref="C4:E4"/>
    <mergeCell ref="B6:D6"/>
    <mergeCell ref="B33:D33"/>
    <mergeCell ref="B29:D29"/>
    <mergeCell ref="B12:D12"/>
    <mergeCell ref="B20:D20"/>
    <mergeCell ref="B22:D22"/>
    <mergeCell ref="B23:D23"/>
    <mergeCell ref="B24:D24"/>
    <mergeCell ref="B14:D14"/>
    <mergeCell ref="B13:D13"/>
    <mergeCell ref="B30:D30"/>
    <mergeCell ref="B32:D32"/>
    <mergeCell ref="B11:D11"/>
    <mergeCell ref="B10:D10"/>
    <mergeCell ref="B38:D38"/>
    <mergeCell ref="B16:D16"/>
    <mergeCell ref="B21:D21"/>
    <mergeCell ref="B19:D19"/>
    <mergeCell ref="B31:D31"/>
    <mergeCell ref="B37:D37"/>
    <mergeCell ref="B28:D28"/>
    <mergeCell ref="B18:D18"/>
    <mergeCell ref="B26:D26"/>
    <mergeCell ref="B25:D25"/>
    <mergeCell ref="B17:D17"/>
    <mergeCell ref="B34:D34"/>
    <mergeCell ref="B35:D35"/>
    <mergeCell ref="B36:D36"/>
  </mergeCells>
  <phoneticPr fontId="12" type="noConversion"/>
  <pageMargins left="0.78740157480314965" right="0.39370078740157483" top="0.39370078740157483" bottom="0.39370078740157483"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11</vt:i4>
      </vt:variant>
      <vt:variant>
        <vt:lpstr>Navngivne områder</vt:lpstr>
      </vt:variant>
      <vt:variant>
        <vt:i4>31</vt:i4>
      </vt:variant>
    </vt:vector>
  </HeadingPairs>
  <TitlesOfParts>
    <vt:vector size="42" baseType="lpstr">
      <vt:lpstr>Bemærkninger til ark</vt:lpstr>
      <vt:lpstr>Oplysningsside</vt:lpstr>
      <vt:lpstr>5.1 Betragtningsforhold</vt:lpstr>
      <vt:lpstr>5.2-5.4 Forhold; GSDF; forskel</vt:lpstr>
      <vt:lpstr>5.5 Homogenitet</vt:lpstr>
      <vt:lpstr>5.6 Artefakter</vt:lpstr>
      <vt:lpstr>5.7 Visuel test</vt:lpstr>
      <vt:lpstr>Samlet rapport (TG18)</vt:lpstr>
      <vt:lpstr>Samlet rapport (SMPTE)</vt:lpstr>
      <vt:lpstr>Beregning af Kontrastforhold</vt:lpstr>
      <vt:lpstr>Link til prøvebilleder</vt:lpstr>
      <vt:lpstr>a_</vt:lpstr>
      <vt:lpstr>Ambient_L</vt:lpstr>
      <vt:lpstr>Ambient_R</vt:lpstr>
      <vt:lpstr>b_</vt:lpstr>
      <vt:lpstr>c_</vt:lpstr>
      <vt:lpstr>d_</vt:lpstr>
      <vt:lpstr>e_</vt:lpstr>
      <vt:lpstr>f_</vt:lpstr>
      <vt:lpstr>g_</vt:lpstr>
      <vt:lpstr>h_</vt:lpstr>
      <vt:lpstr>iA_</vt:lpstr>
      <vt:lpstr>iB_</vt:lpstr>
      <vt:lpstr>iC_</vt:lpstr>
      <vt:lpstr>iD_</vt:lpstr>
      <vt:lpstr>iE_</vt:lpstr>
      <vt:lpstr>iF_</vt:lpstr>
      <vt:lpstr>iG_</vt:lpstr>
      <vt:lpstr>iH_</vt:lpstr>
      <vt:lpstr>iI_</vt:lpstr>
      <vt:lpstr>k_</vt:lpstr>
      <vt:lpstr>m_</vt:lpstr>
      <vt:lpstr>pvalue_lu</vt:lpstr>
      <vt:lpstr>Refleksionskoefficient</vt:lpstr>
      <vt:lpstr>Reflektionskoefficient</vt:lpstr>
      <vt:lpstr>Tol_diff_monitorer</vt:lpstr>
      <vt:lpstr>Tol_Homogenitet</vt:lpstr>
      <vt:lpstr>Tol_kontrastforhold</vt:lpstr>
      <vt:lpstr>Tol_kontrastforhold2</vt:lpstr>
      <vt:lpstr>Tol_kontrastrespons</vt:lpstr>
      <vt:lpstr>'5.2-5.4 Forhold; GSDF; forskel'!Udskriftsområde</vt:lpstr>
      <vt:lpstr>'Samlet rapport (SMPTE)'!Udskriftsområde</vt:lpstr>
    </vt:vector>
  </TitlesOfParts>
  <Company>Medicoteknik Region Syddanmark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Modtage- og statuskontrol af diagnostiske monitorer</dc:title>
  <dc:creator>Lars Møller Albrecht</dc:creator>
  <cp:lastModifiedBy>Peter Kaidin Frederiksen</cp:lastModifiedBy>
  <cp:lastPrinted>2018-05-08T06:38:22Z</cp:lastPrinted>
  <dcterms:created xsi:type="dcterms:W3CDTF">2007-11-13T11:10:11Z</dcterms:created>
  <dcterms:modified xsi:type="dcterms:W3CDTF">2019-02-04T07:46:34Z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